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Olivia Devereux\Desktop\CAST COSTS\"/>
    </mc:Choice>
  </mc:AlternateContent>
  <xr:revisionPtr revIDLastSave="0" documentId="13_ncr:1_{566CA545-06E3-4A5B-A0D3-67E025B3FCF7}" xr6:coauthVersionLast="45" xr6:coauthVersionMax="45" xr10:uidLastSave="{00000000-0000-0000-0000-000000000000}"/>
  <bookViews>
    <workbookView xWindow="28680" yWindow="-6300" windowWidth="29040" windowHeight="15840" tabRatio="937" firstSheet="2" activeTab="3" xr2:uid="{00000000-000D-0000-FFFF-FFFF00000000}"/>
    <workbookView xWindow="28680" yWindow="-6300" windowWidth="29040" windowHeight="15840" xr2:uid="{DD9E4DF3-F37D-45FB-81F8-DFF605C2A6DD}"/>
  </bookViews>
  <sheets>
    <sheet name="Summary $2018" sheetId="9" r:id="rId1"/>
    <sheet name="NASS price index" sheetId="8" r:id="rId2"/>
    <sheet name="Assumptions" sheetId="11" r:id="rId3"/>
    <sheet name="References" sheetId="17" r:id="rId4"/>
    <sheet name="Opportunity Cost" sheetId="7" r:id="rId5"/>
    <sheet name="15. Stream Restoration" sheetId="5" r:id="rId6"/>
    <sheet name="30. WetlandRehabilitation" sheetId="6" r:id="rId7"/>
    <sheet name="40.1 ShoreAgNoVeg" sheetId="4" r:id="rId8"/>
    <sheet name="40.2 ShoreAgVeg" sheetId="3" r:id="rId9"/>
    <sheet name="40.4-6 Urban Shoreline Mgmt" sheetId="2" r:id="rId10"/>
    <sheet name="Abandoned Mine Reclam" sheetId="13" r:id="rId11"/>
    <sheet name="Algal Flow-way" sheetId="16" r:id="rId12"/>
    <sheet name="Forest Harvesting" sheetId="12" r:id="rId13"/>
    <sheet name="DiploidOysters" sheetId="14" r:id="rId14"/>
    <sheet name="Oyster Reef Restoration" sheetId="19" r:id="rId15"/>
    <sheet name="TriploidOysters  " sheetId="15" r:id="rId16"/>
    <sheet name="WetlandEnhancement"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3" hidden="1">References!$A$1:$A$32</definedName>
    <definedName name="_QAm_mD" localSheetId="6">#REF!</definedName>
    <definedName name="_QAm_mD" localSheetId="1">#REF!</definedName>
    <definedName name="_QAm_mD" localSheetId="4">#REF!</definedName>
    <definedName name="_QAm_mD" localSheetId="15">#REF!</definedName>
    <definedName name="_QAm_mD" localSheetId="16">#REF!</definedName>
    <definedName name="_QAm_mD">#REF!</definedName>
    <definedName name="A" localSheetId="11">#REF!</definedName>
    <definedName name="A" localSheetId="1">#REF!</definedName>
    <definedName name="A" localSheetId="4">#REF!</definedName>
    <definedName name="A">#REF!</definedName>
    <definedName name="AM_DE" localSheetId="6">#REF!</definedName>
    <definedName name="AM_DE" localSheetId="1">#REF!</definedName>
    <definedName name="AM_DE" localSheetId="4">'[1]Ammonia Emission'!$B$18</definedName>
    <definedName name="AM_DE" localSheetId="15">#REF!</definedName>
    <definedName name="AM_DE" localSheetId="16">#REF!</definedName>
    <definedName name="AM_DE">#REF!</definedName>
    <definedName name="AM_MD" localSheetId="6">#REF!</definedName>
    <definedName name="AM_MD" localSheetId="1">#REF!</definedName>
    <definedName name="AM_MD" localSheetId="4">'[1]Ammonia Emission'!$F$18</definedName>
    <definedName name="AM_MD" localSheetId="15">#REF!</definedName>
    <definedName name="AM_MD" localSheetId="16">#REF!</definedName>
    <definedName name="AM_MD">#REF!</definedName>
    <definedName name="AM_PA" localSheetId="6">#REF!</definedName>
    <definedName name="AM_PA" localSheetId="1">#REF!</definedName>
    <definedName name="AM_PA" localSheetId="4">'[1]Ammonia Emission'!$D$18</definedName>
    <definedName name="AM_PA" localSheetId="15">#REF!</definedName>
    <definedName name="AM_PA" localSheetId="16">#REF!</definedName>
    <definedName name="AM_PA">#REF!</definedName>
    <definedName name="AM_VA" localSheetId="6">#REF!</definedName>
    <definedName name="AM_VA" localSheetId="1">#REF!</definedName>
    <definedName name="AM_VA" localSheetId="4">'[1]Ammonia Emission'!$E$18</definedName>
    <definedName name="AM_VA" localSheetId="15">#REF!</definedName>
    <definedName name="AM_VA" localSheetId="16">#REF!</definedName>
    <definedName name="AM_VA">#REF!</definedName>
    <definedName name="AM_Watershed" localSheetId="6">#REF!</definedName>
    <definedName name="AM_Watershed" localSheetId="1">#REF!</definedName>
    <definedName name="AM_Watershed" localSheetId="4">'[1]Ammonia Emission'!$G$18</definedName>
    <definedName name="AM_Watershed" localSheetId="15">#REF!</definedName>
    <definedName name="AM_Watershed" localSheetId="16">#REF!</definedName>
    <definedName name="AM_Watershed">#REF!</definedName>
    <definedName name="AMR_Watershed">'Abandoned Mine Reclam'!$C$7</definedName>
    <definedName name="Annual_rate" localSheetId="5">[2]Assumptions!$H$24</definedName>
    <definedName name="Annual_Rate" localSheetId="6">[3]Assumptions!$G$13</definedName>
    <definedName name="Annual_rate" localSheetId="9">[2]Assumptions!$H$24</definedName>
    <definedName name="Annual_rate" localSheetId="11">[4]Assumptions!$H$25</definedName>
    <definedName name="Annual_Rate" localSheetId="1">'NASS price index'!#REF!</definedName>
    <definedName name="Annual_Rate" localSheetId="4">[1]Assumptions!$A$27</definedName>
    <definedName name="Annual_rate" localSheetId="14">[2]Assumptions!$H$24</definedName>
    <definedName name="Annual_Rate" localSheetId="16">[3]Assumptions!$G$13</definedName>
    <definedName name="Annual_Rate">[5]Assumptions!$G$13</definedName>
    <definedName name="Annual_rate1">Assumptions!$F$3</definedName>
    <definedName name="annualrate_2">[6]Assumptions!$A$27</definedName>
    <definedName name="AU_Convert" localSheetId="6">[3]Assumptions!#REF!</definedName>
    <definedName name="AU_Convert" localSheetId="1">'NASS price index'!#REF!</definedName>
    <definedName name="AU_Convert" localSheetId="4">[1]Assumptions!$F$3:$H$16</definedName>
    <definedName name="AU_Convert" localSheetId="16">[3]Assumptions!#REF!</definedName>
    <definedName name="AU_Convert">[5]Assumptions!#REF!</definedName>
    <definedName name="AWF_Watershed" localSheetId="6">#REF!</definedName>
    <definedName name="AWF_Watershed" localSheetId="1">#REF!</definedName>
    <definedName name="AWF_Watershed" localSheetId="4">'[1]Alt Watering'!$D$17</definedName>
    <definedName name="AWF_Watershed" localSheetId="15">#REF!</definedName>
    <definedName name="AWF_Watershed" localSheetId="16">#REF!</definedName>
    <definedName name="AWF_Watershed">#REF!</definedName>
    <definedName name="AWMS_All" localSheetId="6">#REF!</definedName>
    <definedName name="AWMS_All" localSheetId="1">#REF!</definedName>
    <definedName name="AWMS_All" localSheetId="4">'[1]Animal Waste Mgmt'!$C$93</definedName>
    <definedName name="AWMS_All" localSheetId="15">#REF!</definedName>
    <definedName name="AWMS_All" localSheetId="16">#REF!</definedName>
    <definedName name="AWMS_All">#REF!</definedName>
    <definedName name="AWMS_Livestock" localSheetId="6">#REF!</definedName>
    <definedName name="AWMS_Livestock" localSheetId="1">#REF!</definedName>
    <definedName name="AWMS_Livestock" localSheetId="4">'[1]Animal Waste Mgmt'!$C$91</definedName>
    <definedName name="AWMS_Livestock" localSheetId="15">#REF!</definedName>
    <definedName name="AWMS_Livestock" localSheetId="16">#REF!</definedName>
    <definedName name="AWMS_Livestock">#REF!</definedName>
    <definedName name="AWMS_Poultry" localSheetId="6">#REF!</definedName>
    <definedName name="AWMS_Poultry" localSheetId="1">#REF!</definedName>
    <definedName name="AWMS_Poultry" localSheetId="4">'[1]Animal Waste Mgmt'!$C$92</definedName>
    <definedName name="AWMS_Poultry" localSheetId="15">#REF!</definedName>
    <definedName name="AWMS_Poultry" localSheetId="16">#REF!</definedName>
    <definedName name="AWMS_Poultry">#REF!</definedName>
    <definedName name="BIORETENTION" localSheetId="11">#REF!</definedName>
    <definedName name="BIORETENTION" localSheetId="1">#REF!</definedName>
    <definedName name="BIORETENTION" localSheetId="4">#REF!</definedName>
    <definedName name="BIORETENTION">#REF!</definedName>
    <definedName name="Bioretention_Imperviousness_ratio">[7]Assumptions!$T$7</definedName>
    <definedName name="BIOSWALE" localSheetId="11">#REF!</definedName>
    <definedName name="BIOSWALE" localSheetId="1">#REF!</definedName>
    <definedName name="BIOSWALE" localSheetId="4">#REF!</definedName>
    <definedName name="BIOSWALE">#REF!</definedName>
    <definedName name="Bioswale_Imperviousness_ratio">[7]Assumptions!$T$8</definedName>
    <definedName name="BRC_DE" localSheetId="6">#REF!</definedName>
    <definedName name="BRC_DE" localSheetId="1">#REF!</definedName>
    <definedName name="BRC_DE" localSheetId="4">'[1]Barnyard Runoff'!$F$11</definedName>
    <definedName name="BRC_DE" localSheetId="15">#REF!</definedName>
    <definedName name="BRC_DE" localSheetId="16">#REF!</definedName>
    <definedName name="BRC_DE">#REF!</definedName>
    <definedName name="BRC_MD" localSheetId="6">#REF!</definedName>
    <definedName name="BRC_MD" localSheetId="1">#REF!</definedName>
    <definedName name="BRC_MD" localSheetId="4">'[1]Barnyard Runoff'!$F$10</definedName>
    <definedName name="BRC_MD" localSheetId="15">#REF!</definedName>
    <definedName name="BRC_MD" localSheetId="16">#REF!</definedName>
    <definedName name="BRC_MD">#REF!</definedName>
    <definedName name="BRC_VA" localSheetId="6">#REF!</definedName>
    <definedName name="BRC_VA" localSheetId="1">#REF!</definedName>
    <definedName name="BRC_VA" localSheetId="4">'[1]Barnyard Runoff'!$F$7</definedName>
    <definedName name="BRC_VA" localSheetId="15">#REF!</definedName>
    <definedName name="BRC_VA" localSheetId="16">#REF!</definedName>
    <definedName name="BRC_VA">#REF!</definedName>
    <definedName name="BRC_Watershed" localSheetId="6">#REF!</definedName>
    <definedName name="BRC_Watershed" localSheetId="1">#REF!</definedName>
    <definedName name="BRC_Watershed" localSheetId="4">'[1]Barnyard Runoff'!$F$15</definedName>
    <definedName name="BRC_Watershed" localSheetId="15">#REF!</definedName>
    <definedName name="BRC_Watershed" localSheetId="16">#REF!</definedName>
    <definedName name="BRC_Watershed">#REF!</definedName>
    <definedName name="CC_DE" localSheetId="6">#REF!</definedName>
    <definedName name="CC_DE" localSheetId="1">#REF!</definedName>
    <definedName name="CC_DE" localSheetId="4">'[1]Cover Crops'!$B$24</definedName>
    <definedName name="CC_DE" localSheetId="15">#REF!</definedName>
    <definedName name="CC_DE" localSheetId="16">#REF!</definedName>
    <definedName name="CC_DE">#REF!</definedName>
    <definedName name="CC_MD" localSheetId="6">#REF!</definedName>
    <definedName name="CC_MD" localSheetId="1">#REF!</definedName>
    <definedName name="CC_MD" localSheetId="4">'[1]Cover Crops'!$C$24</definedName>
    <definedName name="CC_MD" localSheetId="15">#REF!</definedName>
    <definedName name="CC_MD" localSheetId="16">#REF!</definedName>
    <definedName name="CC_MD">#REF!</definedName>
    <definedName name="CC_NY" localSheetId="6">#REF!</definedName>
    <definedName name="CC_NY" localSheetId="1">#REF!</definedName>
    <definedName name="CC_NY" localSheetId="4">'[1]Cover Crops'!$D$24</definedName>
    <definedName name="CC_NY" localSheetId="15">#REF!</definedName>
    <definedName name="CC_NY" localSheetId="16">#REF!</definedName>
    <definedName name="CC_NY">#REF!</definedName>
    <definedName name="CC_PA" localSheetId="6">#REF!</definedName>
    <definedName name="CC_PA" localSheetId="1">#REF!</definedName>
    <definedName name="CC_PA" localSheetId="4">'[1]Cover Crops'!$E$24</definedName>
    <definedName name="CC_PA" localSheetId="15">#REF!</definedName>
    <definedName name="CC_PA" localSheetId="16">#REF!</definedName>
    <definedName name="CC_PA">#REF!</definedName>
    <definedName name="CC_VA" localSheetId="6">#REF!</definedName>
    <definedName name="CC_VA" localSheetId="1">#REF!</definedName>
    <definedName name="CC_VA" localSheetId="4">'[1]Cover Crops'!$F$24</definedName>
    <definedName name="CC_VA" localSheetId="15">#REF!</definedName>
    <definedName name="CC_VA" localSheetId="16">#REF!</definedName>
    <definedName name="CC_VA">#REF!</definedName>
    <definedName name="CC_Watershed" localSheetId="6">#REF!</definedName>
    <definedName name="CC_Watershed" localSheetId="1">#REF!</definedName>
    <definedName name="CC_Watershed" localSheetId="4">#REF!</definedName>
    <definedName name="CC_Watershed" localSheetId="15">#REF!</definedName>
    <definedName name="CC_Watershed" localSheetId="16">#REF!</definedName>
    <definedName name="CC_Watershed">#REF!</definedName>
    <definedName name="CC_WV" localSheetId="6">#REF!</definedName>
    <definedName name="CC_WV" localSheetId="1">#REF!</definedName>
    <definedName name="CC_WV" localSheetId="4">'[1]Cover Crops'!$G$24</definedName>
    <definedName name="CC_WV" localSheetId="15">#REF!</definedName>
    <definedName name="CC_WV" localSheetId="16">#REF!</definedName>
    <definedName name="CC_WV">#REF!</definedName>
    <definedName name="CCI_1990">#REF!</definedName>
    <definedName name="CCI_1991">#REF!</definedName>
    <definedName name="CCI_1992">#REF!</definedName>
    <definedName name="CCI_1993">#REF!</definedName>
    <definedName name="CCI_1994">#REF!</definedName>
    <definedName name="CCI_1995">#REF!</definedName>
    <definedName name="CCI_1996">#REF!</definedName>
    <definedName name="CCI_1997">#REF!</definedName>
    <definedName name="CCI_1998" localSheetId="11">[4]Assumptions!$C$13</definedName>
    <definedName name="CCI_1998">#REF!</definedName>
    <definedName name="CCI_1999">[2]Assumptions!$C$13</definedName>
    <definedName name="CCI_2000" localSheetId="11">[4]Assumptions!$C$15</definedName>
    <definedName name="CCI_2000">#REF!</definedName>
    <definedName name="CCI_2003" localSheetId="11">[4]Assumptions!$C$18</definedName>
    <definedName name="CCI_2003">[2]Assumptions!$C$17</definedName>
    <definedName name="CCI_2004">[2]Assumptions!$C$18</definedName>
    <definedName name="CCI_2005">[2]Assumptions!$C$19</definedName>
    <definedName name="CCI_2006" localSheetId="11">[4]Assumptions!$C$21</definedName>
    <definedName name="CCI_2006">#REF!</definedName>
    <definedName name="CCI_2007">[2]Assumptions!$C$21</definedName>
    <definedName name="CCI_2007A">#REF!</definedName>
    <definedName name="CCI_2008">[2]Assumptions!$C$22</definedName>
    <definedName name="CCI_2009">#REF!</definedName>
    <definedName name="CCI_2010">Assumptions!$C$12</definedName>
    <definedName name="CCI_2011">#REF!</definedName>
    <definedName name="CCI_2012" localSheetId="11">[4]Assumptions!$C$27</definedName>
    <definedName name="CCI_2012">[2]Assumptions!$C$26</definedName>
    <definedName name="CCI_2013">[2]Assumptions!$C$27</definedName>
    <definedName name="CCI_2014">#REF!</definedName>
    <definedName name="CCI_2015">#REF!</definedName>
    <definedName name="CCI_2016">[2]Assumptions!$C$30</definedName>
    <definedName name="CCI_2017">#REF!</definedName>
    <definedName name="CCI_2018">#REF!</definedName>
    <definedName name="cell1">'[7]Bioretention underdrain AB Soil'!#REF!</definedName>
    <definedName name="CIM_DE" localSheetId="6">#REF!</definedName>
    <definedName name="CIM_DE" localSheetId="1">#REF!</definedName>
    <definedName name="CIM_DE" localSheetId="4">'[1]Cropland Irrig. Mgmt'!$C$12</definedName>
    <definedName name="CIM_DE" localSheetId="15">#REF!</definedName>
    <definedName name="CIM_DE" localSheetId="16">#REF!</definedName>
    <definedName name="CIM_DE">#REF!</definedName>
    <definedName name="CIM_MD" localSheetId="6">#REF!</definedName>
    <definedName name="CIM_MD" localSheetId="1">#REF!</definedName>
    <definedName name="CIM_MD" localSheetId="4">'[1]Cropland Irrig. Mgmt'!$B$12</definedName>
    <definedName name="CIM_MD" localSheetId="15">#REF!</definedName>
    <definedName name="CIM_MD" localSheetId="16">#REF!</definedName>
    <definedName name="CIM_MD">#REF!</definedName>
    <definedName name="CIM_PA" localSheetId="6">#REF!</definedName>
    <definedName name="CIM_PA" localSheetId="1">#REF!</definedName>
    <definedName name="CIM_PA" localSheetId="4">'[1]Cropland Irrig. Mgmt'!$D$12</definedName>
    <definedName name="CIM_PA" localSheetId="15">#REF!</definedName>
    <definedName name="CIM_PA" localSheetId="16">#REF!</definedName>
    <definedName name="CIM_PA">#REF!</definedName>
    <definedName name="CIM_VA" localSheetId="6">#REF!</definedName>
    <definedName name="CIM_VA" localSheetId="1">#REF!</definedName>
    <definedName name="CIM_VA" localSheetId="4">'[1]Cropland Irrig. Mgmt'!$E$12</definedName>
    <definedName name="CIM_VA" localSheetId="15">#REF!</definedName>
    <definedName name="CIM_VA" localSheetId="16">#REF!</definedName>
    <definedName name="CIM_VA">#REF!</definedName>
    <definedName name="CIM_Watershed" localSheetId="6">#REF!</definedName>
    <definedName name="CIM_Watershed" localSheetId="1">#REF!</definedName>
    <definedName name="CIM_Watershed" localSheetId="4">'[1]Cropland Irrig. Mgmt'!$F$12</definedName>
    <definedName name="CIM_Watershed" localSheetId="15">#REF!</definedName>
    <definedName name="CIM_Watershed" localSheetId="16">#REF!</definedName>
    <definedName name="CIM_Watershed">#REF!</definedName>
    <definedName name="CNT_DE" localSheetId="6">#REF!</definedName>
    <definedName name="CNT_DE" localSheetId="1">#REF!</definedName>
    <definedName name="CNT_DE" localSheetId="4">'[1]Cont No-Till'!#REF!</definedName>
    <definedName name="CNT_DE" localSheetId="15">#REF!</definedName>
    <definedName name="CNT_DE" localSheetId="16">#REF!</definedName>
    <definedName name="CNT_DE">#REF!</definedName>
    <definedName name="CNT_MD" localSheetId="6">#REF!</definedName>
    <definedName name="CNT_MD" localSheetId="1">#REF!</definedName>
    <definedName name="CNT_MD" localSheetId="4">'[1]Cont No-Till'!#REF!</definedName>
    <definedName name="CNT_MD" localSheetId="15">#REF!</definedName>
    <definedName name="CNT_MD" localSheetId="16">#REF!</definedName>
    <definedName name="CNT_MD">#REF!</definedName>
    <definedName name="CNT_PA" localSheetId="6">#REF!</definedName>
    <definedName name="CNT_PA" localSheetId="1">#REF!</definedName>
    <definedName name="CNT_PA" localSheetId="4">'[1]Cont No-Till'!#REF!</definedName>
    <definedName name="CNT_PA" localSheetId="15">#REF!</definedName>
    <definedName name="CNT_PA" localSheetId="16">#REF!</definedName>
    <definedName name="CNT_PA">#REF!</definedName>
    <definedName name="CNT_VA" localSheetId="6">#REF!</definedName>
    <definedName name="CNT_VA" localSheetId="1">#REF!</definedName>
    <definedName name="CNT_VA" localSheetId="4">'[1]Cont No-Till'!#REF!</definedName>
    <definedName name="CNT_VA" localSheetId="15">#REF!</definedName>
    <definedName name="CNT_VA" localSheetId="16">#REF!</definedName>
    <definedName name="CNT_VA">#REF!</definedName>
    <definedName name="CNT_Watershed" localSheetId="6">#REF!</definedName>
    <definedName name="CNT_Watershed" localSheetId="1">#REF!</definedName>
    <definedName name="CNT_Watershed" localSheetId="4">'[1]Cont No-Till'!$B$3</definedName>
    <definedName name="CNT_Watershed" localSheetId="15">#REF!</definedName>
    <definedName name="CNT_Watershed" localSheetId="16">#REF!</definedName>
    <definedName name="CNT_Watershed">#REF!</definedName>
    <definedName name="CNT_Watershed\" localSheetId="6">#REF!</definedName>
    <definedName name="CNT_Watershed\" localSheetId="1">#REF!</definedName>
    <definedName name="CNT_Watershed\" localSheetId="4">#REF!</definedName>
    <definedName name="CNT_Watershed\" localSheetId="15">#REF!</definedName>
    <definedName name="CNT_Watershed\" localSheetId="16">#REF!</definedName>
    <definedName name="CNT_Watershed\">#REF!</definedName>
    <definedName name="CP_Watershed" localSheetId="6">#REF!</definedName>
    <definedName name="CP_Watershed" localSheetId="1">#REF!</definedName>
    <definedName name="CP_Watershed" localSheetId="15">#REF!</definedName>
    <definedName name="CP_Watershed" localSheetId="16">#REF!</definedName>
    <definedName name="CP_Watershed">#REF!</definedName>
    <definedName name="CR_MD" localSheetId="6">#REF!</definedName>
    <definedName name="CR_MD" localSheetId="1">#REF!</definedName>
    <definedName name="CR_MD" localSheetId="4">'[1]Capture and Reuse'!$B$5</definedName>
    <definedName name="CR_MD" localSheetId="15">#REF!</definedName>
    <definedName name="CR_MD" localSheetId="16">#REF!</definedName>
    <definedName name="CR_MD">#REF!</definedName>
    <definedName name="CSAC_Watershed" localSheetId="6">#REF!</definedName>
    <definedName name="CSAC_Watershed" localSheetId="1">#REF!</definedName>
    <definedName name="CSAC_Watershed" localSheetId="4">'[1]Carbon Seques'!$B$5</definedName>
    <definedName name="CSAC_Watershed" localSheetId="15">#REF!</definedName>
    <definedName name="CSAC_Watershed" localSheetId="16">#REF!</definedName>
    <definedName name="CSAC_Watershed">#REF!</definedName>
    <definedName name="CSGCC_DE" localSheetId="6">#REF!</definedName>
    <definedName name="CSGCC_DE" localSheetId="1">#REF!</definedName>
    <definedName name="CSGCC_DE" localSheetId="4">'[1]Comm &amp; Small Grain CC'!$B$9</definedName>
    <definedName name="CSGCC_DE" localSheetId="15">#REF!</definedName>
    <definedName name="CSGCC_DE" localSheetId="16">#REF!</definedName>
    <definedName name="CSGCC_DE">#REF!</definedName>
    <definedName name="CSGCC_Early" localSheetId="6">#REF!</definedName>
    <definedName name="CSGCC_Early" localSheetId="1">#REF!</definedName>
    <definedName name="CSGCC_Early" localSheetId="4">#REF!</definedName>
    <definedName name="CSGCC_Early" localSheetId="15">#REF!</definedName>
    <definedName name="CSGCC_Early" localSheetId="16">#REF!</definedName>
    <definedName name="CSGCC_Early">#REF!</definedName>
    <definedName name="CSGCC_Normal" localSheetId="6">#REF!</definedName>
    <definedName name="CSGCC_Normal" localSheetId="15">#REF!</definedName>
    <definedName name="CSGCC_Normal" localSheetId="16">#REF!</definedName>
    <definedName name="CSGCC_Normal">#REF!</definedName>
    <definedName name="CSGCC_VA" localSheetId="6">#REF!</definedName>
    <definedName name="CSGCC_VA" localSheetId="1">#REF!</definedName>
    <definedName name="CSGCC_VA" localSheetId="4">'[1]Comm &amp; Small Grain CC'!$C$9</definedName>
    <definedName name="CSGCC_VA" localSheetId="15">#REF!</definedName>
    <definedName name="CSGCC_VA" localSheetId="16">#REF!</definedName>
    <definedName name="CSGCC_VA">#REF!</definedName>
    <definedName name="CSGCC_Watershed" localSheetId="6">#REF!</definedName>
    <definedName name="CSGCC_Watershed" localSheetId="1">#REF!</definedName>
    <definedName name="CSGCC_Watershed" localSheetId="4">'[1]Comm &amp; Small Grain CC'!$D$9</definedName>
    <definedName name="CSGCC_Watershed" localSheetId="15">#REF!</definedName>
    <definedName name="CSGCC_Watershed" localSheetId="16">#REF!</definedName>
    <definedName name="CSGCC_Watershed">#REF!</definedName>
    <definedName name="CSO_Separation" localSheetId="11">#REF!</definedName>
    <definedName name="CSO_Separation" localSheetId="1">#REF!</definedName>
    <definedName name="CSO_Separation" localSheetId="4">#REF!</definedName>
    <definedName name="CSO_Separation">#REF!</definedName>
    <definedName name="CT_DE" localSheetId="6">#REF!</definedName>
    <definedName name="CT_DE" localSheetId="1">#REF!</definedName>
    <definedName name="CT_DE" localSheetId="4">'[1]Conservation Tillage'!#REF!</definedName>
    <definedName name="CT_DE" localSheetId="15">#REF!</definedName>
    <definedName name="CT_DE" localSheetId="16">#REF!</definedName>
    <definedName name="CT_DE">#REF!</definedName>
    <definedName name="CT_MD" localSheetId="6">#REF!</definedName>
    <definedName name="CT_MD" localSheetId="1">#REF!</definedName>
    <definedName name="CT_MD" localSheetId="4">'[1]Conservation Tillage'!#REF!</definedName>
    <definedName name="CT_MD" localSheetId="15">#REF!</definedName>
    <definedName name="CT_MD" localSheetId="16">#REF!</definedName>
    <definedName name="CT_MD">#REF!</definedName>
    <definedName name="CT_NY" localSheetId="6">#REF!</definedName>
    <definedName name="CT_NY" localSheetId="1">#REF!</definedName>
    <definedName name="CT_NY" localSheetId="4">'[1]Conservation Tillage'!#REF!</definedName>
    <definedName name="CT_NY" localSheetId="15">#REF!</definedName>
    <definedName name="CT_NY" localSheetId="16">#REF!</definedName>
    <definedName name="CT_NY">#REF!</definedName>
    <definedName name="CT_PA" localSheetId="6">#REF!</definedName>
    <definedName name="CT_PA" localSheetId="1">#REF!</definedName>
    <definedName name="CT_PA" localSheetId="4">'[1]Conservation Tillage'!#REF!</definedName>
    <definedName name="CT_PA" localSheetId="15">#REF!</definedName>
    <definedName name="CT_PA" localSheetId="16">#REF!</definedName>
    <definedName name="CT_PA">#REF!</definedName>
    <definedName name="CT_VA" localSheetId="6">#REF!</definedName>
    <definedName name="CT_VA" localSheetId="1">#REF!</definedName>
    <definedName name="CT_VA" localSheetId="4">'[1]Conservation Tillage'!#REF!</definedName>
    <definedName name="CT_VA" localSheetId="15">#REF!</definedName>
    <definedName name="CT_VA" localSheetId="16">#REF!</definedName>
    <definedName name="CT_VA">#REF!</definedName>
    <definedName name="CT_Watershed" localSheetId="6">#REF!</definedName>
    <definedName name="CT_Watershed" localSheetId="1">#REF!</definedName>
    <definedName name="CT_Watershed" localSheetId="4">'[1]Conservation Tillage'!$B$3</definedName>
    <definedName name="CT_Watershed" localSheetId="15">#REF!</definedName>
    <definedName name="CT_Watershed" localSheetId="16">#REF!</definedName>
    <definedName name="CT_Watershed">#REF!</definedName>
    <definedName name="CT_WV" localSheetId="6">#REF!</definedName>
    <definedName name="CT_WV" localSheetId="1">#REF!</definedName>
    <definedName name="CT_WV" localSheetId="4">'[1]Conservation Tillage'!#REF!</definedName>
    <definedName name="CT_WV" localSheetId="15">#REF!</definedName>
    <definedName name="CT_WV" localSheetId="16">#REF!</definedName>
    <definedName name="CT_WV">#REF!</definedName>
    <definedName name="Cubic_feet_to_Impervious_Acres">[7]Assumptions!$T$6</definedName>
    <definedName name="DA_DE" localSheetId="6">#REF!</definedName>
    <definedName name="DA_DE" localSheetId="1">#REF!</definedName>
    <definedName name="DA_DE" localSheetId="4">'[1]Decision Ag'!$D$9</definedName>
    <definedName name="DA_DE" localSheetId="15">#REF!</definedName>
    <definedName name="DA_DE" localSheetId="16">#REF!</definedName>
    <definedName name="DA_DE">#REF!</definedName>
    <definedName name="DA_MD" localSheetId="6">#REF!</definedName>
    <definedName name="DA_MD" localSheetId="1">#REF!</definedName>
    <definedName name="DA_MD" localSheetId="4">'[1]Decision Ag'!$B$9</definedName>
    <definedName name="DA_MD" localSheetId="15">#REF!</definedName>
    <definedName name="DA_MD" localSheetId="16">#REF!</definedName>
    <definedName name="DA_MD">#REF!</definedName>
    <definedName name="DA_PA" localSheetId="6">#REF!</definedName>
    <definedName name="DA_PA" localSheetId="1">#REF!</definedName>
    <definedName name="DA_PA" localSheetId="4">'[1]Decision Ag'!$C$9</definedName>
    <definedName name="DA_PA" localSheetId="15">#REF!</definedName>
    <definedName name="DA_PA" localSheetId="16">#REF!</definedName>
    <definedName name="DA_PA">#REF!</definedName>
    <definedName name="DA_Watershed" localSheetId="6">#REF!</definedName>
    <definedName name="DA_Watershed" localSheetId="1">#REF!</definedName>
    <definedName name="DA_Watershed" localSheetId="4">'[1]Decision Ag'!$E$9</definedName>
    <definedName name="DA_Watershed" localSheetId="15">#REF!</definedName>
    <definedName name="DA_Watershed" localSheetId="16">#REF!</definedName>
    <definedName name="DA_Watershed">#REF!</definedName>
    <definedName name="DC_Impervious">#REF!</definedName>
    <definedName name="DDEDB_DC" localSheetId="5">#REF!</definedName>
    <definedName name="DDEDB_DC" localSheetId="11">#REF!</definedName>
    <definedName name="DDEDB_DC" localSheetId="1">#REF!</definedName>
    <definedName name="DDEDB_DC" localSheetId="4">#REF!</definedName>
    <definedName name="DDEDB_DC" localSheetId="14">#REF!</definedName>
    <definedName name="DDEDB_DC">#REF!</definedName>
    <definedName name="DDEDB_DE" localSheetId="5">#REF!</definedName>
    <definedName name="DDEDB_DE" localSheetId="11">#REF!</definedName>
    <definedName name="DDEDB_DE" localSheetId="1">#REF!</definedName>
    <definedName name="DDEDB_DE" localSheetId="4">#REF!</definedName>
    <definedName name="DDEDB_DE" localSheetId="14">#REF!</definedName>
    <definedName name="DDEDB_DE">#REF!</definedName>
    <definedName name="DDEDB_MD" localSheetId="5">#REF!</definedName>
    <definedName name="DDEDB_MD" localSheetId="11">#REF!</definedName>
    <definedName name="DDEDB_MD" localSheetId="1">#REF!</definedName>
    <definedName name="DDEDB_MD" localSheetId="4">#REF!</definedName>
    <definedName name="DDEDB_MD" localSheetId="14">#REF!</definedName>
    <definedName name="DDEDB_MD">#REF!</definedName>
    <definedName name="DDEDB_NY" localSheetId="5">#REF!</definedName>
    <definedName name="DDEDB_NY" localSheetId="11">#REF!</definedName>
    <definedName name="DDEDB_NY" localSheetId="1">#REF!</definedName>
    <definedName name="DDEDB_NY" localSheetId="4">#REF!</definedName>
    <definedName name="DDEDB_NY" localSheetId="14">#REF!</definedName>
    <definedName name="DDEDB_NY">#REF!</definedName>
    <definedName name="DDEDB_PA" localSheetId="5">#REF!</definedName>
    <definedName name="DDEDB_PA" localSheetId="11">#REF!</definedName>
    <definedName name="DDEDB_PA" localSheetId="1">#REF!</definedName>
    <definedName name="DDEDB_PA" localSheetId="4">#REF!</definedName>
    <definedName name="DDEDB_PA" localSheetId="14">#REF!</definedName>
    <definedName name="DDEDB_PA">#REF!</definedName>
    <definedName name="DDEDB_VA" localSheetId="5">#REF!</definedName>
    <definedName name="DDEDB_VA" localSheetId="11">#REF!</definedName>
    <definedName name="DDEDB_VA" localSheetId="1">#REF!</definedName>
    <definedName name="DDEDB_VA" localSheetId="4">#REF!</definedName>
    <definedName name="DDEDB_VA" localSheetId="14">#REF!</definedName>
    <definedName name="DDEDB_VA">#REF!</definedName>
    <definedName name="DDEDB_Watershed" localSheetId="5">#REF!</definedName>
    <definedName name="DDEDB_Watershed" localSheetId="11">#REF!</definedName>
    <definedName name="DDEDB_Watershed" localSheetId="1">#REF!</definedName>
    <definedName name="DDEDB_Watershed" localSheetId="4">#REF!</definedName>
    <definedName name="DDEDB_Watershed" localSheetId="14">#REF!</definedName>
    <definedName name="DDEDB_Watershed">#REF!</definedName>
    <definedName name="DDEDB_WV" localSheetId="5">#REF!</definedName>
    <definedName name="DDEDB_WV" localSheetId="11">#REF!</definedName>
    <definedName name="DDEDB_WV" localSheetId="1">#REF!</definedName>
    <definedName name="DDEDB_WV" localSheetId="4">#REF!</definedName>
    <definedName name="DDEDB_WV" localSheetId="14">#REF!</definedName>
    <definedName name="DDEDB_WV">#REF!</definedName>
    <definedName name="DDPHS_DC" localSheetId="11">#REF!</definedName>
    <definedName name="DDPHS_DC" localSheetId="1">#REF!</definedName>
    <definedName name="DDPHS_DC" localSheetId="4">#REF!</definedName>
    <definedName name="DDPHS_DC">#REF!</definedName>
    <definedName name="DDPHS_DE" localSheetId="11">#REF!</definedName>
    <definedName name="DDPHS_DE" localSheetId="1">#REF!</definedName>
    <definedName name="DDPHS_DE" localSheetId="4">#REF!</definedName>
    <definedName name="DDPHS_DE">#REF!</definedName>
    <definedName name="DDPHS_MD" localSheetId="11">#REF!</definedName>
    <definedName name="DDPHS_MD" localSheetId="1">#REF!</definedName>
    <definedName name="DDPHS_MD" localSheetId="4">#REF!</definedName>
    <definedName name="DDPHS_MD">#REF!</definedName>
    <definedName name="DDPHS_NY" localSheetId="11">#REF!</definedName>
    <definedName name="DDPHS_NY" localSheetId="1">#REF!</definedName>
    <definedName name="DDPHS_NY" localSheetId="4">#REF!</definedName>
    <definedName name="DDPHS_NY">#REF!</definedName>
    <definedName name="DDPHS_PA" localSheetId="11">#REF!</definedName>
    <definedName name="DDPHS_PA" localSheetId="1">#REF!</definedName>
    <definedName name="DDPHS_PA" localSheetId="4">#REF!</definedName>
    <definedName name="DDPHS_PA">#REF!</definedName>
    <definedName name="DDPHS_VA" localSheetId="11">#REF!</definedName>
    <definedName name="DDPHS_VA" localSheetId="1">#REF!</definedName>
    <definedName name="DDPHS_VA" localSheetId="4">#REF!</definedName>
    <definedName name="DDPHS_VA">#REF!</definedName>
    <definedName name="DDPHS_Watershed" localSheetId="11">#REF!</definedName>
    <definedName name="DDPHS_Watershed" localSheetId="1">#REF!</definedName>
    <definedName name="DDPHS_Watershed" localSheetId="4">#REF!</definedName>
    <definedName name="DDPHS_Watershed">#REF!</definedName>
    <definedName name="DDPHS_WV" localSheetId="11">#REF!</definedName>
    <definedName name="DDPHS_WV" localSheetId="1">#REF!</definedName>
    <definedName name="DDPHS_WV" localSheetId="4">#REF!</definedName>
    <definedName name="DDPHS_WV">#REF!</definedName>
    <definedName name="DE_Buffer_ARR" localSheetId="5">'[8]Opportuniy Cost'!$E$4</definedName>
    <definedName name="DE_Buffer_ARR" localSheetId="6">'[3]Opportuniy Cost'!$E$4</definedName>
    <definedName name="DE_Buffer_ARR" localSheetId="9">'[8]Opportuniy Cost'!$E$4</definedName>
    <definedName name="DE_Buffer_ARR" localSheetId="11">'[8]Opportuniy Cost'!$E$4</definedName>
    <definedName name="DE_Buffer_ARR" localSheetId="1">'[3]Opportuniy Cost'!$E$4</definedName>
    <definedName name="DE_Buffer_ARR" localSheetId="4">'[1]Opportuniy Cost'!$E$4</definedName>
    <definedName name="DE_Buffer_ARR" localSheetId="14">'[8]Opportuniy Cost'!$E$4</definedName>
    <definedName name="DE_Buffer_ARR" localSheetId="15">#REF!</definedName>
    <definedName name="DE_Buffer_ARR" localSheetId="16">'[3]Opportuniy Cost'!$E$4</definedName>
    <definedName name="DE_Buffer_ARR">'[5]Opportuniy Cost'!$E$4</definedName>
    <definedName name="DE_Impervious">#REF!</definedName>
    <definedName name="DE_Wetland_ARR" localSheetId="6">'[3]Opportuniy Cost'!$E$6</definedName>
    <definedName name="DE_Wetland_ARR" localSheetId="1">'[3]Opportuniy Cost'!$E$6</definedName>
    <definedName name="DE_Wetland_ARR" localSheetId="4">'[1]Opportuniy Cost'!$E$6</definedName>
    <definedName name="DE_Wetland_ARR" localSheetId="15">#REF!</definedName>
    <definedName name="DE_Wetland_ARR" localSheetId="16">'[3]Opportuniy Cost'!$E$6</definedName>
    <definedName name="DE_Wetland_ARR">'[5]Opportuniy Cost'!$E$6</definedName>
    <definedName name="DEcrop">'Opportunity Cost'!$C$3</definedName>
    <definedName name="DGR_Watershed">#REF!</definedName>
    <definedName name="DRY_DETENTION" localSheetId="11">#REF!</definedName>
    <definedName name="DRY_DETENTION" localSheetId="1">#REF!</definedName>
    <definedName name="DRY_DETENTION" localSheetId="4">#REF!</definedName>
    <definedName name="DRY_DETENTION">#REF!</definedName>
    <definedName name="EESC_Watershed">#REF!</definedName>
    <definedName name="ENM_MD" localSheetId="6">#REF!</definedName>
    <definedName name="ENM_MD" localSheetId="1">#REF!</definedName>
    <definedName name="ENM_MD" localSheetId="4">'[1]Enhanced Nutr Mgmt'!$B$5</definedName>
    <definedName name="ENM_MD" localSheetId="15">#REF!</definedName>
    <definedName name="ENM_MD" localSheetId="16">#REF!</definedName>
    <definedName name="ENM_MD">#REF!</definedName>
    <definedName name="ENM_Watershed" localSheetId="6">#REF!</definedName>
    <definedName name="ENM_Watershed" localSheetId="1">#REF!</definedName>
    <definedName name="ENM_Watershed" localSheetId="4">'[1]Enhanced Nutr Mgmt'!#REF!</definedName>
    <definedName name="ENM_Watershed" localSheetId="15">#REF!</definedName>
    <definedName name="ENM_Watershed" localSheetId="16">#REF!</definedName>
    <definedName name="ENM_Watershed">#REF!</definedName>
    <definedName name="ERS_2017">[2]Assumptions!$F$31</definedName>
    <definedName name="ERS2001_Factor" localSheetId="1">'NASS price index'!$C$6</definedName>
    <definedName name="ERS2001_Factor">[1]Assumptions!$C$14</definedName>
    <definedName name="ESC_1" localSheetId="11">'[4]Erosion and Sediment Contro (2'!$B$8</definedName>
    <definedName name="ESC_1">'[2]Erosion &amp; Sediment Control'!$B$8</definedName>
    <definedName name="ESC_2" localSheetId="11">'[4]Erosion and Sediment Contro (2'!$C$8</definedName>
    <definedName name="ESC_2">'[2]Erosion &amp; Sediment Control'!$C$8</definedName>
    <definedName name="ESC_3" localSheetId="11">'[4]Erosion and Sediment Contro (2'!$D$8</definedName>
    <definedName name="ESC_3">'[2]Erosion &amp; Sediment Control'!$D$8</definedName>
    <definedName name="FB_DE" localSheetId="15">#REF!</definedName>
    <definedName name="FB_DE">'[1]Forest Buffers'!$H$14</definedName>
    <definedName name="FB_MD" localSheetId="15">#REF!</definedName>
    <definedName name="FB_MD">'[1]Forest Buffers'!$F$14</definedName>
    <definedName name="FB_NY" localSheetId="15">#REF!</definedName>
    <definedName name="FB_NY">'[1]Forest Buffers'!$D$14</definedName>
    <definedName name="FB_PA" localSheetId="15">#REF!</definedName>
    <definedName name="FB_PA">'[1]Forest Buffers'!$E$14</definedName>
    <definedName name="FB_VA" localSheetId="15">#REF!</definedName>
    <definedName name="FB_VA">'[1]Forest Buffers'!$G$14</definedName>
    <definedName name="FEET_IMPAC">#REF!</definedName>
    <definedName name="FHP_PA">'Forest Harvesting'!$C$7</definedName>
    <definedName name="FHP_VA">'Forest Harvesting'!$D$7</definedName>
    <definedName name="FHP_Watershed">'Forest Harvesting'!$B$3</definedName>
    <definedName name="FILTERING" localSheetId="11">#REF!</definedName>
    <definedName name="FILTERING" localSheetId="1">#REF!</definedName>
    <definedName name="FILTERING" localSheetId="4">#REF!</definedName>
    <definedName name="FILTERING">#REF!</definedName>
    <definedName name="Forest_Watershed" localSheetId="15">#REF!</definedName>
    <definedName name="Forest_Watershed">'[1]Forest Buffers'!$I$14</definedName>
    <definedName name="GB_DE" localSheetId="15">#REF!</definedName>
    <definedName name="GB_DE">'[1]Grass Buffers'!$G$8</definedName>
    <definedName name="GB_MD" localSheetId="15">#REF!</definedName>
    <definedName name="GB_MD">'[1]Grass Buffers'!$F$8</definedName>
    <definedName name="GB_NY" localSheetId="15">#REF!</definedName>
    <definedName name="GB_NY">'[1]Grass Buffers'!$B$8</definedName>
    <definedName name="GB_PA" localSheetId="15">#REF!</definedName>
    <definedName name="GB_PA">'[1]Grass Buffers'!$C$8</definedName>
    <definedName name="GB_VA" localSheetId="15">#REF!</definedName>
    <definedName name="GB_VA">'[1]Grass Buffers'!$E$8</definedName>
    <definedName name="GB_WV" localSheetId="15">#REF!</definedName>
    <definedName name="GB_WV">'[1]Grass Buffers'!$D$8</definedName>
    <definedName name="go">[9]Assumptions!$F$2</definedName>
    <definedName name="Gravel\Sand_Share_Total_Cost">'[7]Infiltration Practices Detailed'!#REF!</definedName>
    <definedName name="HIGH_DE">[7]Assumptions!$Q$3</definedName>
    <definedName name="HIGH_OM">[7]Assumptions!$Q$8</definedName>
    <definedName name="HPM_NY" localSheetId="6">#REF!</definedName>
    <definedName name="HPM_NY" localSheetId="1">#REF!</definedName>
    <definedName name="HPM_NY" localSheetId="4">'[1]Horse Pasture Mgmt'!$C$7</definedName>
    <definedName name="HPM_NY" localSheetId="15">#REF!</definedName>
    <definedName name="HPM_NY" localSheetId="16">#REF!</definedName>
    <definedName name="HPM_NY">#REF!</definedName>
    <definedName name="HPM_VA" localSheetId="6">#REF!</definedName>
    <definedName name="HPM_VA" localSheetId="1">#REF!</definedName>
    <definedName name="HPM_VA" localSheetId="4">'[1]Horse Pasture Mgmt'!$B$7</definedName>
    <definedName name="HPM_VA" localSheetId="15">#REF!</definedName>
    <definedName name="HPM_VA" localSheetId="16">#REF!</definedName>
    <definedName name="HPM_VA">#REF!</definedName>
    <definedName name="HPM_Watershed" localSheetId="6">#REF!</definedName>
    <definedName name="HPM_Watershed" localSheetId="1">#REF!</definedName>
    <definedName name="HPM_Watershed" localSheetId="4">'[1]Horse Pasture Mgmt'!$D$7</definedName>
    <definedName name="HPM_Watershed" localSheetId="15">#REF!</definedName>
    <definedName name="HPM_Watershed" localSheetId="16">#REF!</definedName>
    <definedName name="HPM_Watershed">#REF!</definedName>
    <definedName name="IMPERVIOUS" localSheetId="11">#REF!</definedName>
    <definedName name="IMPERVIOUS" localSheetId="1">#REF!</definedName>
    <definedName name="IMPERVIOUS" localSheetId="4">#REF!</definedName>
    <definedName name="IMPERVIOUS">#REF!</definedName>
    <definedName name="Inches_to_Foot">[7]Assumptions!$T$4</definedName>
    <definedName name="Index2002" localSheetId="6">[3]Assumptions!$C$15</definedName>
    <definedName name="Index2002" localSheetId="1">'NASS price index'!$C$7</definedName>
    <definedName name="Index2002" localSheetId="16">[3]Assumptions!$C$15</definedName>
    <definedName name="Index2002">[5]Assumptions!$C$15</definedName>
    <definedName name="Index2003" localSheetId="1">'NASS price index'!$C$8</definedName>
    <definedName name="Index2004" localSheetId="1">'NASS price index'!$C$9</definedName>
    <definedName name="Index2005" localSheetId="6">[3]Assumptions!$C$18</definedName>
    <definedName name="Index2005" localSheetId="1">'NASS price index'!$C$10</definedName>
    <definedName name="Index2005" localSheetId="16">[3]Assumptions!$C$18</definedName>
    <definedName name="Index2005">[5]Assumptions!$C$18</definedName>
    <definedName name="Index2006" localSheetId="1">'NASS price index'!$C$11</definedName>
    <definedName name="Index2007" localSheetId="6">[3]Assumptions!$C$20</definedName>
    <definedName name="Index2007" localSheetId="1">'NASS price index'!$C$12</definedName>
    <definedName name="Index2007" localSheetId="16">[3]Assumptions!$C$20</definedName>
    <definedName name="Index2007">[5]Assumptions!$C$20</definedName>
    <definedName name="Index2008" localSheetId="1">'NASS price index'!$C$13</definedName>
    <definedName name="Index2009" localSheetId="6">[3]Assumptions!$C$22</definedName>
    <definedName name="Index2009" localSheetId="1">'NASS price index'!$C$14</definedName>
    <definedName name="Index2009" localSheetId="16">[3]Assumptions!$C$22</definedName>
    <definedName name="Index2009">[5]Assumptions!$C$22</definedName>
    <definedName name="Index2011" comment="-" localSheetId="6">[3]Assumptions!$C$24</definedName>
    <definedName name="Index2011" comment="-" localSheetId="1">'NASS price index'!$C$16</definedName>
    <definedName name="Index2011" comment="-" localSheetId="16">[3]Assumptions!$C$24</definedName>
    <definedName name="Index2011" comment="-">[5]Assumptions!$C$24</definedName>
    <definedName name="Index2012" localSheetId="6">[3]Assumptions!$C$25</definedName>
    <definedName name="Index2012" localSheetId="1">'NASS price index'!$C$17</definedName>
    <definedName name="Index2012" localSheetId="16">[3]Assumptions!$C$25</definedName>
    <definedName name="Index2012">[5]Assumptions!$C$25</definedName>
    <definedName name="Index2013" localSheetId="1">'NASS price index'!$C$18</definedName>
    <definedName name="Index2014" localSheetId="1">'NASS price index'!$C$19</definedName>
    <definedName name="Index2015" localSheetId="6">[3]Assumptions!$C$28</definedName>
    <definedName name="Index2015" localSheetId="1">'NASS price index'!$C$20</definedName>
    <definedName name="Index2015" localSheetId="16">[3]Assumptions!$C$28</definedName>
    <definedName name="Index2015">[5]Assumptions!$C$28</definedName>
    <definedName name="Index2016" localSheetId="6">[3]Assumptions!$C$29</definedName>
    <definedName name="Index2016" localSheetId="1">'NASS price index'!$C$21</definedName>
    <definedName name="Index2016" localSheetId="16">[3]Assumptions!$C$29</definedName>
    <definedName name="Index2016">[5]Assumptions!$C$29</definedName>
    <definedName name="INFILTRATION" localSheetId="11">#REF!</definedName>
    <definedName name="INFILTRATION" localSheetId="1">#REF!</definedName>
    <definedName name="INFILTRATION" localSheetId="4">#REF!</definedName>
    <definedName name="INFILTRATION">#REF!</definedName>
    <definedName name="IPG_DE" localSheetId="6">#REF!</definedName>
    <definedName name="IPG_DE" localSheetId="1">#REF!</definedName>
    <definedName name="IPG_DE" localSheetId="4">'[1] Prescribed Intensive Grazing'!$C$7</definedName>
    <definedName name="IPG_DE" localSheetId="15">#REF!</definedName>
    <definedName name="IPG_DE" localSheetId="16">#REF!</definedName>
    <definedName name="IPG_DE">#REF!</definedName>
    <definedName name="IPG_MD" localSheetId="6">#REF!</definedName>
    <definedName name="IPG_MD" localSheetId="1">#REF!</definedName>
    <definedName name="IPG_MD" localSheetId="4">'[1] Prescribed Intensive Grazing'!$B$7</definedName>
    <definedName name="IPG_MD" localSheetId="15">#REF!</definedName>
    <definedName name="IPG_MD" localSheetId="16">#REF!</definedName>
    <definedName name="IPG_MD">#REF!</definedName>
    <definedName name="IPG_Watershed" localSheetId="6">#REF!</definedName>
    <definedName name="IPG_Watershed" localSheetId="1">#REF!</definedName>
    <definedName name="IPG_Watershed" localSheetId="4">'[1] Prescribed Intensive Grazing'!$E$7</definedName>
    <definedName name="IPG_Watershed" localSheetId="15">#REF!</definedName>
    <definedName name="IPG_Watershed" localSheetId="16">#REF!</definedName>
    <definedName name="IPG_Watershed">#REF!</definedName>
    <definedName name="IPG_WV" localSheetId="6">#REF!</definedName>
    <definedName name="IPG_WV" localSheetId="1">#REF!</definedName>
    <definedName name="IPG_WV" localSheetId="4">'[1] Prescribed Intensive Grazing'!$D$7</definedName>
    <definedName name="IPG_WV" localSheetId="15">#REF!</definedName>
    <definedName name="IPG_WV" localSheetId="16">#REF!</definedName>
    <definedName name="IPG_WV">#REF!</definedName>
    <definedName name="ISR_DC" localSheetId="5">#REF!</definedName>
    <definedName name="ISR_DC" localSheetId="11">#REF!</definedName>
    <definedName name="ISR_DC" localSheetId="1">#REF!</definedName>
    <definedName name="ISR_DC" localSheetId="4">#REF!</definedName>
    <definedName name="ISR_DC" localSheetId="14">#REF!</definedName>
    <definedName name="ISR_DC">#REF!</definedName>
    <definedName name="ISR_DE" localSheetId="5">#REF!</definedName>
    <definedName name="ISR_DE" localSheetId="11">#REF!</definedName>
    <definedName name="ISR_DE" localSheetId="1">#REF!</definedName>
    <definedName name="ISR_DE" localSheetId="4">#REF!</definedName>
    <definedName name="ISR_DE" localSheetId="14">#REF!</definedName>
    <definedName name="ISR_DE">#REF!</definedName>
    <definedName name="ISR_MD" localSheetId="5">#REF!</definedName>
    <definedName name="ISR_MD" localSheetId="11">#REF!</definedName>
    <definedName name="ISR_MD" localSheetId="1">#REF!</definedName>
    <definedName name="ISR_MD" localSheetId="4">#REF!</definedName>
    <definedName name="ISR_MD" localSheetId="14">#REF!</definedName>
    <definedName name="ISR_MD">#REF!</definedName>
    <definedName name="ISR_NY" localSheetId="5">#REF!</definedName>
    <definedName name="ISR_NY" localSheetId="11">#REF!</definedName>
    <definedName name="ISR_NY" localSheetId="1">#REF!</definedName>
    <definedName name="ISR_NY" localSheetId="4">#REF!</definedName>
    <definedName name="ISR_NY" localSheetId="14">#REF!</definedName>
    <definedName name="ISR_NY">#REF!</definedName>
    <definedName name="ISR_PA" localSheetId="5">#REF!</definedName>
    <definedName name="ISR_PA" localSheetId="11">#REF!</definedName>
    <definedName name="ISR_PA" localSheetId="1">#REF!</definedName>
    <definedName name="ISR_PA" localSheetId="4">#REF!</definedName>
    <definedName name="ISR_PA" localSheetId="14">#REF!</definedName>
    <definedName name="ISR_PA">#REF!</definedName>
    <definedName name="ISR_VA" localSheetId="5">#REF!</definedName>
    <definedName name="ISR_VA" localSheetId="11">#REF!</definedName>
    <definedName name="ISR_VA" localSheetId="1">#REF!</definedName>
    <definedName name="ISR_VA" localSheetId="4">#REF!</definedName>
    <definedName name="ISR_VA" localSheetId="14">#REF!</definedName>
    <definedName name="ISR_VA">#REF!</definedName>
    <definedName name="ISR_Watershed" localSheetId="5">#REF!</definedName>
    <definedName name="ISR_Watershed" localSheetId="11">#REF!</definedName>
    <definedName name="ISR_Watershed" localSheetId="1">#REF!</definedName>
    <definedName name="ISR_Watershed" localSheetId="4">#REF!</definedName>
    <definedName name="ISR_Watershed" localSheetId="14">#REF!</definedName>
    <definedName name="ISR_Watershed">#REF!</definedName>
    <definedName name="ISR_WV" localSheetId="5">#REF!</definedName>
    <definedName name="ISR_WV" localSheetId="11">#REF!</definedName>
    <definedName name="ISR_WV" localSheetId="1">#REF!</definedName>
    <definedName name="ISR_WV" localSheetId="4">#REF!</definedName>
    <definedName name="ISR_WV" localSheetId="14">#REF!</definedName>
    <definedName name="ISR_WV">#REF!</definedName>
    <definedName name="Land_Cost_DC">#REF!</definedName>
    <definedName name="Land_Cost_DE">#REF!</definedName>
    <definedName name="Land_Cost_MD">#REF!</definedName>
    <definedName name="Land_Cost_NY">#REF!</definedName>
    <definedName name="Land_Cost_PA">#REF!</definedName>
    <definedName name="Land_Cost_VA">#REF!</definedName>
    <definedName name="Land_Cost_Watershed">#REF!</definedName>
    <definedName name="Land_Cost_WV">#REF!</definedName>
    <definedName name="LLM_MD" localSheetId="6">#REF!</definedName>
    <definedName name="LLM_MD" localSheetId="1">#REF!</definedName>
    <definedName name="LLM_MD" localSheetId="4">'[1]Loafing Lot Mgmt'!$B$5</definedName>
    <definedName name="LLM_MD" localSheetId="15">#REF!</definedName>
    <definedName name="LLM_MD" localSheetId="16">#REF!</definedName>
    <definedName name="LLM_MD">#REF!</definedName>
    <definedName name="LLM_VA" localSheetId="6">#REF!</definedName>
    <definedName name="LLM_VA" localSheetId="1">#REF!</definedName>
    <definedName name="LLM_VA" localSheetId="4">'[1]Loafing Lot Mgmt'!$K$108</definedName>
    <definedName name="LLM_VA" localSheetId="15">#REF!</definedName>
    <definedName name="LLM_VA" localSheetId="16">#REF!</definedName>
    <definedName name="LLM_VA">#REF!</definedName>
    <definedName name="LLM_Watershed" localSheetId="6">#REF!</definedName>
    <definedName name="LLM_Watershed" localSheetId="1">#REF!</definedName>
    <definedName name="LLM_Watershed" localSheetId="4">'[1]Loafing Lot Mgmt'!$D$5</definedName>
    <definedName name="LLM_Watershed" localSheetId="15">#REF!</definedName>
    <definedName name="LLM_Watershed" localSheetId="16">#REF!</definedName>
    <definedName name="LLM_Watershed">#REF!</definedName>
    <definedName name="LMI_Watershed" localSheetId="6">#REF!</definedName>
    <definedName name="LMI_Watershed" localSheetId="1">#REF!</definedName>
    <definedName name="LMI_Watershed" localSheetId="4">'[1]Liq. Manure Inj.'!$B$3</definedName>
    <definedName name="LMI_Watershed" localSheetId="15">#REF!</definedName>
    <definedName name="LMI_Watershed" localSheetId="16">#REF!</definedName>
    <definedName name="LMI_Watershed">#REF!</definedName>
    <definedName name="LOW_DE">[7]Assumptions!$Q$2</definedName>
    <definedName name="LOW_OM">[7]Assumptions!$Q$6</definedName>
    <definedName name="LR_Watershed" localSheetId="6">#REF!</definedName>
    <definedName name="LR_Watershed" localSheetId="1">#REF!</definedName>
    <definedName name="LR_Watershed" localSheetId="4">'[1]Land Retirement'!$B$7</definedName>
    <definedName name="LR_Watershed" localSheetId="15">#REF!</definedName>
    <definedName name="LR_Watershed" localSheetId="16">#REF!</definedName>
    <definedName name="LR_Watershed">#REF!</definedName>
    <definedName name="MC_NY" localSheetId="6">#REF!</definedName>
    <definedName name="MC_NY" localSheetId="1">#REF!</definedName>
    <definedName name="MC_NY" localSheetId="4">'[1]Mortality Comp'!$B$83</definedName>
    <definedName name="MC_NY" localSheetId="15">#REF!</definedName>
    <definedName name="MC_NY" localSheetId="16">#REF!</definedName>
    <definedName name="MC_NY">#REF!</definedName>
    <definedName name="MC_PA" localSheetId="6">#REF!</definedName>
    <definedName name="MC_PA" localSheetId="1">#REF!</definedName>
    <definedName name="MC_PA" localSheetId="4">'[1]Mortality Comp'!$C$83</definedName>
    <definedName name="MC_PA" localSheetId="15">#REF!</definedName>
    <definedName name="MC_PA" localSheetId="16">#REF!</definedName>
    <definedName name="MC_PA">#REF!</definedName>
    <definedName name="MC_VA" localSheetId="6">#REF!</definedName>
    <definedName name="MC_VA" localSheetId="1">#REF!</definedName>
    <definedName name="MC_VA" localSheetId="4">'[1]Mortality Comp'!$D$83</definedName>
    <definedName name="MC_VA" localSheetId="15">#REF!</definedName>
    <definedName name="MC_VA" localSheetId="16">#REF!</definedName>
    <definedName name="MC_VA">#REF!</definedName>
    <definedName name="MC_Watershed" localSheetId="6">#REF!</definedName>
    <definedName name="MC_Watershed" localSheetId="1">#REF!</definedName>
    <definedName name="MC_Watershed" localSheetId="4">'[1]Mortality Comp'!$F$83</definedName>
    <definedName name="MC_Watershed" localSheetId="15">#REF!</definedName>
    <definedName name="MC_Watershed" localSheetId="16">#REF!</definedName>
    <definedName name="MC_Watershed">#REF!</definedName>
    <definedName name="MC_WV" localSheetId="6">#REF!</definedName>
    <definedName name="MC_WV" localSheetId="1">#REF!</definedName>
    <definedName name="MC_WV" localSheetId="4">'[1]Mortality Comp'!$E$83</definedName>
    <definedName name="MC_WV" localSheetId="15">#REF!</definedName>
    <definedName name="MC_WV" localSheetId="16">#REF!</definedName>
    <definedName name="MC_WV">#REF!</definedName>
    <definedName name="MD_FBuffer_ARR" localSheetId="6">'[3]Opportuniy Cost'!$E$8</definedName>
    <definedName name="MD_FBuffer_ARR" localSheetId="1">'[3]Opportuniy Cost'!$E$8</definedName>
    <definedName name="MD_FBuffer_ARR" localSheetId="4">'[1]Opportuniy Cost'!$E$8</definedName>
    <definedName name="MD_FBuffer_ARR" localSheetId="15">#REF!</definedName>
    <definedName name="MD_FBuffer_ARR" localSheetId="16">'[3]Opportuniy Cost'!$E$8</definedName>
    <definedName name="MD_FBuffer_ARR">'[5]Opportuniy Cost'!$E$8</definedName>
    <definedName name="MD_GBuffer_ARR" localSheetId="6">'[3]Opportuniy Cost'!$E$9</definedName>
    <definedName name="MD_GBuffer_ARR" localSheetId="1">'[3]Opportuniy Cost'!$E$9</definedName>
    <definedName name="MD_GBuffer_ARR" localSheetId="4">'[1]Opportuniy Cost'!$E$9</definedName>
    <definedName name="MD_GBuffer_ARR" localSheetId="15">#REF!</definedName>
    <definedName name="MD_GBuffer_ARR" localSheetId="16">'[3]Opportuniy Cost'!$E$9</definedName>
    <definedName name="MD_GBuffer_ARR">'[5]Opportuniy Cost'!$E$9</definedName>
    <definedName name="MD_HiErode_ARR" localSheetId="15">#REF!</definedName>
    <definedName name="MD_HiErode_ARR">'[8]Opportuniy Cost'!$E$11</definedName>
    <definedName name="MD_Impervious">#REF!</definedName>
    <definedName name="MD_Wetland_ARR" localSheetId="6">'[3]Opportuniy Cost'!$E$10</definedName>
    <definedName name="MD_Wetland_ARR" localSheetId="1">'[3]Opportuniy Cost'!$E$10</definedName>
    <definedName name="MD_Wetland_ARR" localSheetId="4">'[1]Opportuniy Cost'!$E$10</definedName>
    <definedName name="MD_Wetland_ARR" localSheetId="15">#REF!</definedName>
    <definedName name="MD_Wetland_ARR" localSheetId="16">'[3]Opportuniy Cost'!$E$10</definedName>
    <definedName name="MD_Wetland_ARR">'[5]Opportuniy Cost'!$E$10</definedName>
    <definedName name="MDcrop">'Opportunity Cost'!$C$4</definedName>
    <definedName name="MED_OM">[7]Assumptions!$Q$7</definedName>
    <definedName name="MID_DE">[7]Assumptions!$Q$4</definedName>
    <definedName name="MT_Inside" localSheetId="6">#REF!</definedName>
    <definedName name="MT_Inside" localSheetId="1">#REF!</definedName>
    <definedName name="MT_Inside" localSheetId="4">'[1]Manure Transport'!$F$6</definedName>
    <definedName name="MT_Inside" localSheetId="15">#REF!</definedName>
    <definedName name="MT_Inside" localSheetId="16">#REF!</definedName>
    <definedName name="MT_Inside">#REF!</definedName>
    <definedName name="MT_Outside" localSheetId="6">#REF!</definedName>
    <definedName name="MT_Outside" localSheetId="1">#REF!</definedName>
    <definedName name="MT_Outside" localSheetId="4">'[1]Manure Transport'!$G$6</definedName>
    <definedName name="MT_Outside" localSheetId="15">#REF!</definedName>
    <definedName name="MT_Outside" localSheetId="16">#REF!</definedName>
    <definedName name="MT_Outside">#REF!</definedName>
    <definedName name="MT_Watershed" localSheetId="6">#REF!</definedName>
    <definedName name="MT_Watershed" localSheetId="1">#REF!</definedName>
    <definedName name="MT_Watershed" localSheetId="4">'[1]Manure Transport'!$H$6</definedName>
    <definedName name="MT_Watershed" localSheetId="15">#REF!</definedName>
    <definedName name="MT_Watershed" localSheetId="16">#REF!</definedName>
    <definedName name="MT_Watershed">#REF!</definedName>
    <definedName name="NASS_2018">'NASS price index'!$D$14</definedName>
    <definedName name="NASS1">'NASS price index'!$D$14</definedName>
    <definedName name="NASS20102018">'NASS price index'!$D$15</definedName>
    <definedName name="NASS2016">'NASS price index'!$D$20</definedName>
    <definedName name="NM_DE" localSheetId="6">#REF!</definedName>
    <definedName name="NM_DE" localSheetId="1">#REF!</definedName>
    <definedName name="NM_DE" localSheetId="4">'[1]Nutr Mgmt'!$C$23</definedName>
    <definedName name="NM_DE" localSheetId="15">#REF!</definedName>
    <definedName name="NM_DE" localSheetId="16">#REF!</definedName>
    <definedName name="NM_DE">#REF!</definedName>
    <definedName name="NM_MD" localSheetId="6">#REF!</definedName>
    <definedName name="NM_MD" localSheetId="1">#REF!</definedName>
    <definedName name="NM_MD" localSheetId="4">'[1]Nutr Mgmt'!$B$23</definedName>
    <definedName name="NM_MD" localSheetId="15">#REF!</definedName>
    <definedName name="NM_MD" localSheetId="16">#REF!</definedName>
    <definedName name="NM_MD">#REF!</definedName>
    <definedName name="NM_NY" localSheetId="6">#REF!</definedName>
    <definedName name="NM_NY" localSheetId="1">#REF!</definedName>
    <definedName name="NM_NY" localSheetId="4">'[1]Nutr Mgmt'!$G$23</definedName>
    <definedName name="NM_NY" localSheetId="15">#REF!</definedName>
    <definedName name="NM_NY" localSheetId="16">#REF!</definedName>
    <definedName name="NM_NY">#REF!</definedName>
    <definedName name="NM_PA" localSheetId="6">#REF!</definedName>
    <definedName name="NM_PA" localSheetId="1">#REF!</definedName>
    <definedName name="NM_PA" localSheetId="4">'[1]Nutr Mgmt'!$E$23</definedName>
    <definedName name="NM_PA" localSheetId="15">#REF!</definedName>
    <definedName name="NM_PA" localSheetId="16">#REF!</definedName>
    <definedName name="NM_PA">#REF!</definedName>
    <definedName name="NM_VA" localSheetId="6">#REF!</definedName>
    <definedName name="NM_VA" localSheetId="1">#REF!</definedName>
    <definedName name="NM_VA" localSheetId="4">'[1]Nutr Mgmt'!$F$23</definedName>
    <definedName name="NM_VA" localSheetId="15">#REF!</definedName>
    <definedName name="NM_VA" localSheetId="16">#REF!</definedName>
    <definedName name="NM_VA">#REF!</definedName>
    <definedName name="NM_Watershed" localSheetId="6">#REF!</definedName>
    <definedName name="NM_Watershed" localSheetId="1">#REF!</definedName>
    <definedName name="NM_Watershed" localSheetId="4">'[1]Nutr Mgmt'!$H$23</definedName>
    <definedName name="NM_Watershed" localSheetId="15">#REF!</definedName>
    <definedName name="NM_Watershed" localSheetId="16">#REF!</definedName>
    <definedName name="NM_Watershed">#REF!</definedName>
    <definedName name="NM_WV" localSheetId="6">#REF!</definedName>
    <definedName name="NM_WV" localSheetId="1">#REF!</definedName>
    <definedName name="NM_WV" localSheetId="4">'[1]Nutr Mgmt'!$D$23</definedName>
    <definedName name="NM_WV" localSheetId="15">#REF!</definedName>
    <definedName name="NM_WV" localSheetId="16">#REF!</definedName>
    <definedName name="NM_WV">#REF!</definedName>
    <definedName name="NUSR_MD" localSheetId="6">#REF!</definedName>
    <definedName name="NUSR_MD" localSheetId="1">#REF!</definedName>
    <definedName name="NUSR_MD" localSheetId="4">'[1]NonUrban Stream Restoration'!$B$13</definedName>
    <definedName name="NUSR_MD" localSheetId="15">#REF!</definedName>
    <definedName name="NUSR_MD" localSheetId="16">#REF!</definedName>
    <definedName name="NUSR_MD">#REF!</definedName>
    <definedName name="NUSR_PA" localSheetId="6">#REF!</definedName>
    <definedName name="NUSR_PA" localSheetId="1">#REF!</definedName>
    <definedName name="NUSR_PA" localSheetId="4">'[1]NonUrban Stream Restoration'!$D$13</definedName>
    <definedName name="NUSR_PA" localSheetId="15">#REF!</definedName>
    <definedName name="NUSR_PA" localSheetId="16">#REF!</definedName>
    <definedName name="NUSR_PA">#REF!</definedName>
    <definedName name="NUSR_Watershed" localSheetId="6">#REF!</definedName>
    <definedName name="NUSR_Watershed" localSheetId="1">#REF!</definedName>
    <definedName name="NUSR_Watershed" localSheetId="4">'[1]NonUrban Stream Restoration'!$E$13</definedName>
    <definedName name="NUSR_Watershed" localSheetId="15">#REF!</definedName>
    <definedName name="NUSR_Watershed" localSheetId="16">#REF!</definedName>
    <definedName name="NUSR_Watershed">#REF!</definedName>
    <definedName name="NUSR_WV" localSheetId="6">#REF!</definedName>
    <definedName name="NUSR_WV" localSheetId="1">#REF!</definedName>
    <definedName name="NUSR_WV" localSheetId="4">'[1]NonUrban Stream Restoration'!$C$13</definedName>
    <definedName name="NUSR_WV" localSheetId="15">#REF!</definedName>
    <definedName name="NUSR_WV" localSheetId="16">#REF!</definedName>
    <definedName name="NUSR_WV">#REF!</definedName>
    <definedName name="NY_Buffer_ARR" localSheetId="6">'[3]Opportuniy Cost'!$E$13</definedName>
    <definedName name="NY_Buffer_ARR" localSheetId="1">'[3]Opportuniy Cost'!$E$13</definedName>
    <definedName name="NY_Buffer_ARR" localSheetId="4">'[1]Opportuniy Cost'!$E$13</definedName>
    <definedName name="NY_Buffer_ARR" localSheetId="15">#REF!</definedName>
    <definedName name="NY_Buffer_ARR" localSheetId="16">'[3]Opportuniy Cost'!$E$13</definedName>
    <definedName name="NY_Buffer_ARR">'[5]Opportuniy Cost'!$E$13</definedName>
    <definedName name="NY_HiErode_ARR" localSheetId="15">#REF!</definedName>
    <definedName name="NY_HiErode_ARR">#REF!</definedName>
    <definedName name="NY_Impervious">#REF!</definedName>
    <definedName name="NYcrop">'Opportunity Cost'!$C$5</definedName>
    <definedName name="OM_High">[2]Assumptions!$B$49</definedName>
    <definedName name="OM_Intermittent_Med">[7]Assumptions!$W$14</definedName>
    <definedName name="OM_Low">[2]Assumptions!$B$55</definedName>
    <definedName name="P_Watershed" localSheetId="6">#REF!</definedName>
    <definedName name="P_Watershed" localSheetId="1">#REF!</definedName>
    <definedName name="P_Watershed" localSheetId="4">[1]Phytase!#REF!</definedName>
    <definedName name="P_Watershed" localSheetId="15">#REF!</definedName>
    <definedName name="P_Watershed" localSheetId="16">#REF!</definedName>
    <definedName name="P_Watershed">#REF!</definedName>
    <definedName name="PA_Buffer_ARR" localSheetId="6">'[3]Opportuniy Cost'!$E$16</definedName>
    <definedName name="PA_Buffer_ARR" localSheetId="1">'[3]Opportuniy Cost'!$E$16</definedName>
    <definedName name="PA_Buffer_ARR" localSheetId="4">'[1]Opportuniy Cost'!$E$16</definedName>
    <definedName name="PA_Buffer_ARR" localSheetId="15">#REF!</definedName>
    <definedName name="PA_Buffer_ARR" localSheetId="16">'[3]Opportuniy Cost'!$E$16</definedName>
    <definedName name="PA_Buffer_ARR">'[5]Opportuniy Cost'!$E$16</definedName>
    <definedName name="PA_HiErode_ARR" localSheetId="1">'[1]Opportuniy Cost'!$E$19</definedName>
    <definedName name="PA_HiErode_ARR" localSheetId="4">'[1]Opportuniy Cost'!$E$19</definedName>
    <definedName name="PA_HiErode_ARR" localSheetId="15">#REF!</definedName>
    <definedName name="PA_HiErode_ARR">'[8]Opportuniy Cost'!$E$19</definedName>
    <definedName name="PA_Impervious">#REF!</definedName>
    <definedName name="PA_Wetland_ARR" localSheetId="6">'[3]Opportuniy Cost'!$E$18</definedName>
    <definedName name="PA_Wetland_ARR" localSheetId="1">'[3]Opportuniy Cost'!$E$18</definedName>
    <definedName name="PA_Wetland_ARR" localSheetId="4">'[1]Opportuniy Cost'!$E$18</definedName>
    <definedName name="PA_Wetland_ARR" localSheetId="15">#REF!</definedName>
    <definedName name="PA_Wetland_ARR" localSheetId="16">'[3]Opportuniy Cost'!$E$18</definedName>
    <definedName name="PA_Wetland_ARR">'[5]Opportuniy Cost'!$E$18</definedName>
    <definedName name="PAcrop">'Opportunity Cost'!$C$6</definedName>
    <definedName name="Perc_Diff_Const_Cost_A\B_C\D_Soils">'[7]Bioretention Detailed'!$I$104</definedName>
    <definedName name="Perc_Diff_OandM_Cost_A\B_C\D_Soils">'[7]Bioretention Detailed'!$J$104</definedName>
    <definedName name="Percent_Diff_Underdrain_No_Underdrain">'[7]Bioretention Detailed'!$K$99</definedName>
    <definedName name="PF_Dairy_Watershed" localSheetId="6">#REF!</definedName>
    <definedName name="PF_Dairy_Watershed" localSheetId="1">#REF!</definedName>
    <definedName name="PF_Dairy_Watershed" localSheetId="4">'[1]Dairy Precision Feeding'!$H$5</definedName>
    <definedName name="PF_Dairy_Watershed" localSheetId="15">#REF!</definedName>
    <definedName name="PF_Dairy_Watershed" localSheetId="16">#REF!</definedName>
    <definedName name="PF_Dairy_Watershed">#REF!</definedName>
    <definedName name="PG_DE" localSheetId="6">#REF!</definedName>
    <definedName name="PG_DE" localSheetId="1">#REF!</definedName>
    <definedName name="PG_DE" localSheetId="4">'[1]Prescribed Grazing'!$C$13</definedName>
    <definedName name="PG_DE" localSheetId="15">#REF!</definedName>
    <definedName name="PG_DE" localSheetId="16">#REF!</definedName>
    <definedName name="PG_DE">#REF!</definedName>
    <definedName name="PG_MD" localSheetId="6">#REF!</definedName>
    <definedName name="PG_MD" localSheetId="1">#REF!</definedName>
    <definedName name="PG_MD" localSheetId="4">'[1]Prescribed Grazing'!$B$13</definedName>
    <definedName name="PG_MD" localSheetId="15">#REF!</definedName>
    <definedName name="PG_MD" localSheetId="16">#REF!</definedName>
    <definedName name="PG_MD">#REF!</definedName>
    <definedName name="PG_NY" localSheetId="6">#REF!</definedName>
    <definedName name="PG_NY" localSheetId="1">#REF!</definedName>
    <definedName name="PG_NY" localSheetId="4">'[1]Prescribed Grazing'!$D$13</definedName>
    <definedName name="PG_NY" localSheetId="15">#REF!</definedName>
    <definedName name="PG_NY" localSheetId="16">#REF!</definedName>
    <definedName name="PG_NY">#REF!</definedName>
    <definedName name="PG_PA" localSheetId="6">#REF!</definedName>
    <definedName name="PG_PA" localSheetId="1">#REF!</definedName>
    <definedName name="PG_PA" localSheetId="4">'[1]Prescribed Grazing'!$E$13</definedName>
    <definedName name="PG_PA" localSheetId="15">#REF!</definedName>
    <definedName name="PG_PA" localSheetId="16">#REF!</definedName>
    <definedName name="PG_PA">#REF!</definedName>
    <definedName name="PG_VA" localSheetId="6">#REF!</definedName>
    <definedName name="PG_VA" localSheetId="1">#REF!</definedName>
    <definedName name="PG_VA" localSheetId="4">'[1]Prescribed Grazing'!$G$13</definedName>
    <definedName name="PG_VA" localSheetId="15">#REF!</definedName>
    <definedName name="PG_VA" localSheetId="16">#REF!</definedName>
    <definedName name="PG_VA">#REF!</definedName>
    <definedName name="PG_WV" localSheetId="6">#REF!</definedName>
    <definedName name="PG_WV" localSheetId="1">#REF!</definedName>
    <definedName name="PG_WV" localSheetId="4">'[1]Prescribed Grazing'!$F$13</definedName>
    <definedName name="PG_WV" localSheetId="15">#REF!</definedName>
    <definedName name="PG_WV" localSheetId="16">#REF!</definedName>
    <definedName name="PG_WV">#REF!</definedName>
    <definedName name="PH_Poultry" localSheetId="6">#REF!</definedName>
    <definedName name="PH_Poultry" localSheetId="1">#REF!</definedName>
    <definedName name="PH_Poultry" localSheetId="4">[1]Phytase!$D$8</definedName>
    <definedName name="PH_Poultry" localSheetId="15">#REF!</definedName>
    <definedName name="PH_Poultry" localSheetId="16">#REF!</definedName>
    <definedName name="PH_Poultry">#REF!</definedName>
    <definedName name="PH_Swine" localSheetId="6">#REF!</definedName>
    <definedName name="PH_Swine" localSheetId="1">#REF!</definedName>
    <definedName name="PH_Swine" localSheetId="4">[1]Phytase!$D$9</definedName>
    <definedName name="PH_Swine" localSheetId="15">#REF!</definedName>
    <definedName name="PH_Swine" localSheetId="16">#REF!</definedName>
    <definedName name="PH_Swine">#REF!</definedName>
    <definedName name="PMI_Watershed" localSheetId="6">#REF!</definedName>
    <definedName name="PMI_Watershed" localSheetId="1">#REF!</definedName>
    <definedName name="PMI_Watershed" localSheetId="15">#REF!</definedName>
    <definedName name="PMI_Watershed" localSheetId="16">#REF!</definedName>
    <definedName name="PMI_Watershed">#REF!</definedName>
    <definedName name="Pre_Construction_Cost_2">[2]Assumptions!$B$60</definedName>
    <definedName name="Pre_Construction_Cost_4">[9]Assumptions!$F$26</definedName>
    <definedName name="Project_Acres_Developable">[2]Assumptions!$H$20</definedName>
    <definedName name="qam" localSheetId="6">#REF!</definedName>
    <definedName name="qam" localSheetId="1">#REF!</definedName>
    <definedName name="qam" localSheetId="4">#REF!</definedName>
    <definedName name="qam" localSheetId="15">#REF!</definedName>
    <definedName name="qam" localSheetId="16">#REF!</definedName>
    <definedName name="qam">#REF!</definedName>
    <definedName name="qam_va" localSheetId="6">#REF!</definedName>
    <definedName name="qam_va" localSheetId="15">#REF!</definedName>
    <definedName name="qam_va" localSheetId="16">#REF!</definedName>
    <definedName name="qam_va">#REF!</definedName>
    <definedName name="RSWM_Cap_MD" localSheetId="5">#REF!</definedName>
    <definedName name="RSWM_Cap_MD" localSheetId="11">#REF!</definedName>
    <definedName name="RSWM_Cap_MD" localSheetId="1">#REF!</definedName>
    <definedName name="RSWM_Cap_MD" localSheetId="4">#REF!</definedName>
    <definedName name="RSWM_Cap_MD" localSheetId="14">#REF!</definedName>
    <definedName name="RSWM_Cap_MD">#REF!</definedName>
    <definedName name="RSWM_DC" localSheetId="5">#REF!</definedName>
    <definedName name="RSWM_DC" localSheetId="11">#REF!</definedName>
    <definedName name="RSWM_DC" localSheetId="1">#REF!</definedName>
    <definedName name="RSWM_DC" localSheetId="4">#REF!</definedName>
    <definedName name="RSWM_DC" localSheetId="14">#REF!</definedName>
    <definedName name="RSWM_DC">#REF!</definedName>
    <definedName name="RSWM_DE" localSheetId="5">#REF!</definedName>
    <definedName name="RSWM_DE" localSheetId="11">#REF!</definedName>
    <definedName name="RSWM_DE" localSheetId="1">#REF!</definedName>
    <definedName name="RSWM_DE" localSheetId="4">#REF!</definedName>
    <definedName name="RSWM_DE" localSheetId="14">#REF!</definedName>
    <definedName name="RSWM_DE">#REF!</definedName>
    <definedName name="RSWM_Land_MD" localSheetId="5">#REF!</definedName>
    <definedName name="RSWM_Land_MD" localSheetId="11">#REF!</definedName>
    <definedName name="RSWM_Land_MD" localSheetId="1">#REF!</definedName>
    <definedName name="RSWM_Land_MD" localSheetId="4">#REF!</definedName>
    <definedName name="RSWM_Land_MD" localSheetId="14">#REF!</definedName>
    <definedName name="RSWM_Land_MD">#REF!</definedName>
    <definedName name="RSWM_MD" localSheetId="5">#REF!</definedName>
    <definedName name="RSWM_MD" localSheetId="11">#REF!</definedName>
    <definedName name="RSWM_MD" localSheetId="1">#REF!</definedName>
    <definedName name="RSWM_MD" localSheetId="4">#REF!</definedName>
    <definedName name="RSWM_MD" localSheetId="14">#REF!</definedName>
    <definedName name="RSWM_MD">#REF!</definedName>
    <definedName name="RSWM_NY" localSheetId="5">#REF!</definedName>
    <definedName name="RSWM_NY" localSheetId="11">#REF!</definedName>
    <definedName name="RSWM_NY" localSheetId="1">#REF!</definedName>
    <definedName name="RSWM_NY" localSheetId="4">#REF!</definedName>
    <definedName name="RSWM_NY" localSheetId="14">#REF!</definedName>
    <definedName name="RSWM_NY">#REF!</definedName>
    <definedName name="RSWM_OM_MD" localSheetId="5">#REF!</definedName>
    <definedName name="RSWM_OM_MD" localSheetId="11">#REF!</definedName>
    <definedName name="RSWM_OM_MD" localSheetId="1">#REF!</definedName>
    <definedName name="RSWM_OM_MD" localSheetId="4">#REF!</definedName>
    <definedName name="RSWM_OM_MD" localSheetId="14">#REF!</definedName>
    <definedName name="RSWM_OM_MD">#REF!</definedName>
    <definedName name="RSWM_PA" localSheetId="5">#REF!</definedName>
    <definedName name="RSWM_PA" localSheetId="11">#REF!</definedName>
    <definedName name="RSWM_PA" localSheetId="1">#REF!</definedName>
    <definedName name="RSWM_PA" localSheetId="4">#REF!</definedName>
    <definedName name="RSWM_PA" localSheetId="14">#REF!</definedName>
    <definedName name="RSWM_PA">#REF!</definedName>
    <definedName name="RSWM_VA" localSheetId="5">#REF!</definedName>
    <definedName name="RSWM_VA" localSheetId="11">#REF!</definedName>
    <definedName name="RSWM_VA" localSheetId="1">#REF!</definedName>
    <definedName name="RSWM_VA" localSheetId="4">#REF!</definedName>
    <definedName name="RSWM_VA" localSheetId="14">#REF!</definedName>
    <definedName name="RSWM_VA">#REF!</definedName>
    <definedName name="RSWM_Watershed" localSheetId="5">#REF!</definedName>
    <definedName name="RSWM_Watershed" localSheetId="11">#REF!</definedName>
    <definedName name="RSWM_Watershed" localSheetId="1">#REF!</definedName>
    <definedName name="RSWM_Watershed" localSheetId="4">#REF!</definedName>
    <definedName name="RSWM_Watershed" localSheetId="14">#REF!</definedName>
    <definedName name="RSWM_Watershed">#REF!</definedName>
    <definedName name="RSWM_WV" localSheetId="5">#REF!</definedName>
    <definedName name="RSWM_WV" localSheetId="11">#REF!</definedName>
    <definedName name="RSWM_WV" localSheetId="1">#REF!</definedName>
    <definedName name="RSWM_WV" localSheetId="4">#REF!</definedName>
    <definedName name="RSWM_WV" localSheetId="14">#REF!</definedName>
    <definedName name="RSWM_WV">#REF!</definedName>
    <definedName name="SAC_Avg_Watershed" localSheetId="6">#REF!</definedName>
    <definedName name="SAC_Avg_Watershed" localSheetId="1">#REF!</definedName>
    <definedName name="SAC_Avg_Watershed" localSheetId="4">'[1]Stream Access Control'!$D$29</definedName>
    <definedName name="SAC_Avg_Watershed" localSheetId="15">#REF!</definedName>
    <definedName name="SAC_Avg_Watershed" localSheetId="16">#REF!</definedName>
    <definedName name="SAC_Avg_Watershed">#REF!</definedName>
    <definedName name="Sand_layer_depth_F3">'[7]Infiltration Practices Detailed'!$K$98</definedName>
    <definedName name="Sand_Share_Total_Cost">'[7]Infiltration Practices Detailed'!$O$97</definedName>
    <definedName name="Sand_Total_Cost">'[7]Infiltration Practices Detailed'!$O$95</definedName>
    <definedName name="Square_feet_to_Acres">[7]Assumptions!$T$5</definedName>
    <definedName name="SS_DC" localSheetId="5">#REF!</definedName>
    <definedName name="SS_DC" localSheetId="11">#REF!</definedName>
    <definedName name="SS_DC" localSheetId="1">#REF!</definedName>
    <definedName name="SS_DC" localSheetId="4">#REF!</definedName>
    <definedName name="SS_DC" localSheetId="14">#REF!</definedName>
    <definedName name="SS_DC">#REF!</definedName>
    <definedName name="SS_DE" localSheetId="5">#REF!</definedName>
    <definedName name="SS_DE" localSheetId="11">#REF!</definedName>
    <definedName name="SS_DE" localSheetId="1">#REF!</definedName>
    <definedName name="SS_DE" localSheetId="4">#REF!</definedName>
    <definedName name="SS_DE" localSheetId="14">#REF!</definedName>
    <definedName name="SS_DE">#REF!</definedName>
    <definedName name="SS_MD" localSheetId="5">#REF!</definedName>
    <definedName name="SS_MD" localSheetId="11">#REF!</definedName>
    <definedName name="SS_MD" localSheetId="1">#REF!</definedName>
    <definedName name="SS_MD" localSheetId="4">#REF!</definedName>
    <definedName name="SS_MD" localSheetId="14">#REF!</definedName>
    <definedName name="SS_MD">#REF!</definedName>
    <definedName name="SS_NY" localSheetId="5">#REF!</definedName>
    <definedName name="SS_NY" localSheetId="11">#REF!</definedName>
    <definedName name="SS_NY" localSheetId="1">#REF!</definedName>
    <definedName name="SS_NY" localSheetId="4">#REF!</definedName>
    <definedName name="SS_NY" localSheetId="14">#REF!</definedName>
    <definedName name="SS_NY">#REF!</definedName>
    <definedName name="SS_PA" localSheetId="5">#REF!</definedName>
    <definedName name="SS_PA" localSheetId="11">#REF!</definedName>
    <definedName name="SS_PA" localSheetId="1">#REF!</definedName>
    <definedName name="SS_PA" localSheetId="4">#REF!</definedName>
    <definedName name="SS_PA" localSheetId="14">#REF!</definedName>
    <definedName name="SS_PA">#REF!</definedName>
    <definedName name="SS_VA" localSheetId="5">#REF!</definedName>
    <definedName name="SS_VA" localSheetId="11">#REF!</definedName>
    <definedName name="SS_VA" localSheetId="1">#REF!</definedName>
    <definedName name="SS_VA" localSheetId="4">#REF!</definedName>
    <definedName name="SS_VA" localSheetId="14">#REF!</definedName>
    <definedName name="SS_VA">#REF!</definedName>
    <definedName name="SS_Watershed" localSheetId="11">#REF!</definedName>
    <definedName name="SS_Watershed" localSheetId="1">#REF!</definedName>
    <definedName name="SS_Watershed" localSheetId="4">#REF!</definedName>
    <definedName name="SS_Watershed">#REF!</definedName>
    <definedName name="SS_WV" localSheetId="5">#REF!</definedName>
    <definedName name="SS_WV" localSheetId="11">#REF!</definedName>
    <definedName name="SS_WV" localSheetId="1">#REF!</definedName>
    <definedName name="SS_WV" localSheetId="4">#REF!</definedName>
    <definedName name="SS_WV" localSheetId="14">#REF!</definedName>
    <definedName name="SS_WV">#REF!</definedName>
    <definedName name="TP_Cap_DE" localSheetId="11">#REF!</definedName>
    <definedName name="TP_Cap_DE" localSheetId="1">#REF!</definedName>
    <definedName name="TP_Cap_DE" localSheetId="4">#REF!</definedName>
    <definedName name="TP_Cap_DE">#REF!</definedName>
    <definedName name="TP_Cap_MD" localSheetId="11">#REF!</definedName>
    <definedName name="TP_Cap_MD" localSheetId="1">#REF!</definedName>
    <definedName name="TP_Cap_MD" localSheetId="4">#REF!</definedName>
    <definedName name="TP_Cap_MD">#REF!</definedName>
    <definedName name="TP_Cap_PA" localSheetId="11">#REF!</definedName>
    <definedName name="TP_Cap_PA" localSheetId="1">#REF!</definedName>
    <definedName name="TP_Cap_PA" localSheetId="4">#REF!</definedName>
    <definedName name="TP_Cap_PA">#REF!</definedName>
    <definedName name="TP_Cap_VA" localSheetId="11">#REF!</definedName>
    <definedName name="TP_Cap_VA" localSheetId="1">#REF!</definedName>
    <definedName name="TP_Cap_VA" localSheetId="4">#REF!</definedName>
    <definedName name="TP_Cap_VA">#REF!</definedName>
    <definedName name="TP_Cap_Watershed" localSheetId="11">#REF!</definedName>
    <definedName name="TP_Cap_Watershed" localSheetId="1">#REF!</definedName>
    <definedName name="TP_Cap_Watershed" localSheetId="4">#REF!</definedName>
    <definedName name="TP_Cap_Watershed">#REF!</definedName>
    <definedName name="TP_Cap_WV" localSheetId="11">#REF!</definedName>
    <definedName name="TP_Cap_WV" localSheetId="1">#REF!</definedName>
    <definedName name="TP_Cap_WV" localSheetId="4">#REF!</definedName>
    <definedName name="TP_Cap_WV">#REF!</definedName>
    <definedName name="TP_DE" localSheetId="6">#REF!</definedName>
    <definedName name="TP_DE" localSheetId="11">#REF!</definedName>
    <definedName name="TP_DE" localSheetId="1">#REF!</definedName>
    <definedName name="TP_DE" localSheetId="4">'[1]Tree Planting'!$C$38</definedName>
    <definedName name="TP_DE" localSheetId="15">#REF!</definedName>
    <definedName name="TP_DE" localSheetId="16">#REF!</definedName>
    <definedName name="TP_DE">#REF!</definedName>
    <definedName name="TP_MD" localSheetId="6">#REF!</definedName>
    <definedName name="TP_MD" localSheetId="11">#REF!</definedName>
    <definedName name="TP_MD" localSheetId="1">#REF!</definedName>
    <definedName name="TP_MD" localSheetId="4">'[1]Tree Planting'!$D$38</definedName>
    <definedName name="TP_MD" localSheetId="15">#REF!</definedName>
    <definedName name="TP_MD" localSheetId="16">#REF!</definedName>
    <definedName name="TP_MD">#REF!</definedName>
    <definedName name="TP_PA" localSheetId="6">#REF!</definedName>
    <definedName name="TP_PA" localSheetId="11">#REF!</definedName>
    <definedName name="TP_PA" localSheetId="1">#REF!</definedName>
    <definedName name="TP_PA" localSheetId="4">'[1]Tree Planting'!$E$38</definedName>
    <definedName name="TP_PA" localSheetId="15">#REF!</definedName>
    <definedName name="TP_PA" localSheetId="16">#REF!</definedName>
    <definedName name="TP_PA">#REF!</definedName>
    <definedName name="TP_VA" localSheetId="6">#REF!</definedName>
    <definedName name="TP_VA" localSheetId="11">#REF!</definedName>
    <definedName name="TP_VA" localSheetId="1">#REF!</definedName>
    <definedName name="TP_VA" localSheetId="4">'[1]Tree Planting'!$F$38</definedName>
    <definedName name="TP_VA" localSheetId="15">#REF!</definedName>
    <definedName name="TP_VA" localSheetId="16">#REF!</definedName>
    <definedName name="TP_VA">#REF!</definedName>
    <definedName name="TP_Watershed" localSheetId="6">#REF!</definedName>
    <definedName name="TP_Watershed" localSheetId="11">#REF!</definedName>
    <definedName name="TP_Watershed" localSheetId="1">#REF!</definedName>
    <definedName name="TP_Watershed" localSheetId="4">'[1]Tree Planting'!$G$38</definedName>
    <definedName name="TP_Watershed" localSheetId="15">#REF!</definedName>
    <definedName name="TP_Watershed" localSheetId="16">#REF!</definedName>
    <definedName name="TP_Watershed">#REF!</definedName>
    <definedName name="TP_WV" localSheetId="6">#REF!</definedName>
    <definedName name="TP_WV" localSheetId="11">#REF!</definedName>
    <definedName name="TP_WV" localSheetId="1">#REF!</definedName>
    <definedName name="TP_WV" localSheetId="4">'[1]Tree Planting'!$B$38</definedName>
    <definedName name="TP_WV" localSheetId="15">#REF!</definedName>
    <definedName name="TP_WV" localSheetId="16">#REF!</definedName>
    <definedName name="TP_WV">#REF!</definedName>
    <definedName name="UESC_DC" localSheetId="11">#REF!</definedName>
    <definedName name="UESC_DC" localSheetId="1">#REF!</definedName>
    <definedName name="UESC_DC" localSheetId="4">#REF!</definedName>
    <definedName name="UESC_DC">#REF!</definedName>
    <definedName name="UESC_DE" localSheetId="11">#REF!</definedName>
    <definedName name="UESC_DE" localSheetId="1">#REF!</definedName>
    <definedName name="UESC_DE" localSheetId="4">#REF!</definedName>
    <definedName name="UESC_DE">#REF!</definedName>
    <definedName name="UESC_MD" localSheetId="11">#REF!</definedName>
    <definedName name="UESC_MD" localSheetId="1">#REF!</definedName>
    <definedName name="UESC_MD" localSheetId="4">#REF!</definedName>
    <definedName name="UESC_MD">#REF!</definedName>
    <definedName name="UESC_NY" localSheetId="11">#REF!</definedName>
    <definedName name="UESC_NY" localSheetId="1">#REF!</definedName>
    <definedName name="UESC_NY" localSheetId="4">#REF!</definedName>
    <definedName name="UESC_NY">#REF!</definedName>
    <definedName name="UESC_PA" localSheetId="11">#REF!</definedName>
    <definedName name="UESC_PA" localSheetId="1">#REF!</definedName>
    <definedName name="UESC_PA" localSheetId="4">#REF!</definedName>
    <definedName name="UESC_PA">#REF!</definedName>
    <definedName name="UESC_VA" localSheetId="11">#REF!</definedName>
    <definedName name="UESC_VA" localSheetId="1">#REF!</definedName>
    <definedName name="UESC_VA" localSheetId="4">#REF!</definedName>
    <definedName name="UESC_VA">#REF!</definedName>
    <definedName name="UESC_Watershed" localSheetId="11">#REF!</definedName>
    <definedName name="UESC_Watershed" localSheetId="1">#REF!</definedName>
    <definedName name="UESC_Watershed" localSheetId="4">#REF!</definedName>
    <definedName name="UESC_Watershed">#REF!</definedName>
    <definedName name="UESC_WV" localSheetId="11">#REF!</definedName>
    <definedName name="UESC_WV" localSheetId="1">#REF!</definedName>
    <definedName name="UESC_WV" localSheetId="4">#REF!</definedName>
    <definedName name="UESC_WV">#REF!</definedName>
    <definedName name="UFB_Cap_DE" localSheetId="11">#REF!</definedName>
    <definedName name="UFB_Cap_DE" localSheetId="1">#REF!</definedName>
    <definedName name="UFB_Cap_DE" localSheetId="4">#REF!</definedName>
    <definedName name="UFB_Cap_DE">#REF!</definedName>
    <definedName name="UFB_Cap_MD" localSheetId="11">#REF!</definedName>
    <definedName name="UFB_Cap_MD" localSheetId="1">#REF!</definedName>
    <definedName name="UFB_Cap_MD" localSheetId="4">#REF!</definedName>
    <definedName name="UFB_Cap_MD">#REF!</definedName>
    <definedName name="UFB_Cap_NY" localSheetId="11">#REF!</definedName>
    <definedName name="UFB_Cap_NY" localSheetId="1">#REF!</definedName>
    <definedName name="UFB_Cap_NY" localSheetId="4">#REF!</definedName>
    <definedName name="UFB_Cap_NY">#REF!</definedName>
    <definedName name="UFB_Cap_PA" localSheetId="11">#REF!</definedName>
    <definedName name="UFB_Cap_PA" localSheetId="1">#REF!</definedName>
    <definedName name="UFB_Cap_PA" localSheetId="4">#REF!</definedName>
    <definedName name="UFB_Cap_PA">#REF!</definedName>
    <definedName name="UFB_Cap_VA" localSheetId="11">#REF!</definedName>
    <definedName name="UFB_Cap_VA" localSheetId="1">#REF!</definedName>
    <definedName name="UFB_Cap_VA" localSheetId="4">#REF!</definedName>
    <definedName name="UFB_Cap_VA">#REF!</definedName>
    <definedName name="UFB_Cap_Watershed" localSheetId="11">#REF!</definedName>
    <definedName name="UFB_Cap_Watershed" localSheetId="1">#REF!</definedName>
    <definedName name="UFB_Cap_Watershed" localSheetId="4">#REF!</definedName>
    <definedName name="UFB_Cap_Watershed">#REF!</definedName>
    <definedName name="UFB_DE" localSheetId="11">#REF!</definedName>
    <definedName name="UFB_DE" localSheetId="1">#REF!</definedName>
    <definedName name="UFB_DE" localSheetId="4">#REF!</definedName>
    <definedName name="UFB_DE">#REF!</definedName>
    <definedName name="UFB_MD" localSheetId="11">#REF!</definedName>
    <definedName name="UFB_MD" localSheetId="1">#REF!</definedName>
    <definedName name="UFB_MD" localSheetId="4">#REF!</definedName>
    <definedName name="UFB_MD">#REF!</definedName>
    <definedName name="UFB_NY" localSheetId="11">#REF!</definedName>
    <definedName name="UFB_NY" localSheetId="1">#REF!</definedName>
    <definedName name="UFB_NY" localSheetId="4">#REF!</definedName>
    <definedName name="UFB_NY">#REF!</definedName>
    <definedName name="UFB_OM_DE" localSheetId="11">#REF!</definedName>
    <definedName name="UFB_OM_DE" localSheetId="1">#REF!</definedName>
    <definedName name="UFB_OM_DE" localSheetId="4">#REF!</definedName>
    <definedName name="UFB_OM_DE">#REF!</definedName>
    <definedName name="UFB_OM_MD" localSheetId="11">#REF!</definedName>
    <definedName name="UFB_OM_MD" localSheetId="1">#REF!</definedName>
    <definedName name="UFB_OM_MD" localSheetId="4">#REF!</definedName>
    <definedName name="UFB_OM_MD">#REF!</definedName>
    <definedName name="UFB_OM_NY" localSheetId="11">#REF!</definedName>
    <definedName name="UFB_OM_NY" localSheetId="1">#REF!</definedName>
    <definedName name="UFB_OM_NY" localSheetId="4">#REF!</definedName>
    <definedName name="UFB_OM_NY">#REF!</definedName>
    <definedName name="UFB_OM_PA" localSheetId="11">#REF!</definedName>
    <definedName name="UFB_OM_PA" localSheetId="1">#REF!</definedName>
    <definedName name="UFB_OM_PA" localSheetId="4">#REF!</definedName>
    <definedName name="UFB_OM_PA">#REF!</definedName>
    <definedName name="UFB_OM_VA" localSheetId="11">#REF!</definedName>
    <definedName name="UFB_OM_VA" localSheetId="1">#REF!</definedName>
    <definedName name="UFB_OM_VA" localSheetId="4">#REF!</definedName>
    <definedName name="UFB_OM_VA">#REF!</definedName>
    <definedName name="UFB_OM_Watershed" localSheetId="11">#REF!</definedName>
    <definedName name="UFB_OM_Watershed" localSheetId="1">#REF!</definedName>
    <definedName name="UFB_OM_Watershed" localSheetId="4">#REF!</definedName>
    <definedName name="UFB_OM_Watershed">#REF!</definedName>
    <definedName name="UFB_PA" localSheetId="11">#REF!</definedName>
    <definedName name="UFB_PA" localSheetId="1">#REF!</definedName>
    <definedName name="UFB_PA" localSheetId="4">#REF!</definedName>
    <definedName name="UFB_PA">#REF!</definedName>
    <definedName name="UFB_VA" localSheetId="11">#REF!</definedName>
    <definedName name="UFB_VA" localSheetId="1">#REF!</definedName>
    <definedName name="UFB_VA" localSheetId="4">#REF!</definedName>
    <definedName name="UFB_VA">#REF!</definedName>
    <definedName name="UFB_Watershed" localSheetId="11">#REF!</definedName>
    <definedName name="UFB_Watershed" localSheetId="1">#REF!</definedName>
    <definedName name="UFB_Watershed" localSheetId="4">#REF!</definedName>
    <definedName name="UFB_Watershed">#REF!</definedName>
    <definedName name="UFP_DC" localSheetId="5">#REF!</definedName>
    <definedName name="UFP_DC" localSheetId="11">#REF!</definedName>
    <definedName name="UFP_DC" localSheetId="1">#REF!</definedName>
    <definedName name="UFP_DC" localSheetId="4">#REF!</definedName>
    <definedName name="UFP_DC" localSheetId="14">#REF!</definedName>
    <definedName name="UFP_DC">#REF!</definedName>
    <definedName name="UFP_DE" localSheetId="5">#REF!</definedName>
    <definedName name="UFP_DE" localSheetId="11">#REF!</definedName>
    <definedName name="UFP_DE" localSheetId="1">#REF!</definedName>
    <definedName name="UFP_DE" localSheetId="4">#REF!</definedName>
    <definedName name="UFP_DE" localSheetId="14">#REF!</definedName>
    <definedName name="UFP_DE">#REF!</definedName>
    <definedName name="UFP_MD" localSheetId="5">#REF!</definedName>
    <definedName name="UFP_MD" localSheetId="11">#REF!</definedName>
    <definedName name="UFP_MD" localSheetId="1">#REF!</definedName>
    <definedName name="UFP_MD" localSheetId="4">#REF!</definedName>
    <definedName name="UFP_MD" localSheetId="14">#REF!</definedName>
    <definedName name="UFP_MD">#REF!</definedName>
    <definedName name="UFP_NY" localSheetId="5">#REF!</definedName>
    <definedName name="UFP_NY" localSheetId="11">#REF!</definedName>
    <definedName name="UFP_NY" localSheetId="1">#REF!</definedName>
    <definedName name="UFP_NY" localSheetId="4">#REF!</definedName>
    <definedName name="UFP_NY" localSheetId="14">#REF!</definedName>
    <definedName name="UFP_NY">#REF!</definedName>
    <definedName name="UFP_PA" localSheetId="5">#REF!</definedName>
    <definedName name="UFP_PA" localSheetId="11">#REF!</definedName>
    <definedName name="UFP_PA" localSheetId="1">#REF!</definedName>
    <definedName name="UFP_PA" localSheetId="4">#REF!</definedName>
    <definedName name="UFP_PA" localSheetId="14">#REF!</definedName>
    <definedName name="UFP_PA">#REF!</definedName>
    <definedName name="UFP_VA" localSheetId="5">#REF!</definedName>
    <definedName name="UFP_VA" localSheetId="11">#REF!</definedName>
    <definedName name="UFP_VA" localSheetId="1">#REF!</definedName>
    <definedName name="UFP_VA" localSheetId="4">#REF!</definedName>
    <definedName name="UFP_VA" localSheetId="14">#REF!</definedName>
    <definedName name="UFP_VA">#REF!</definedName>
    <definedName name="UFP_Watershed" localSheetId="5">#REF!</definedName>
    <definedName name="UFP_Watershed" localSheetId="11">#REF!</definedName>
    <definedName name="UFP_Watershed" localSheetId="1">#REF!</definedName>
    <definedName name="UFP_Watershed" localSheetId="4">#REF!</definedName>
    <definedName name="UFP_Watershed" localSheetId="14">#REF!</definedName>
    <definedName name="UFP_Watershed">#REF!</definedName>
    <definedName name="UFP_WV" localSheetId="5">#REF!</definedName>
    <definedName name="UFP_WV" localSheetId="11">#REF!</definedName>
    <definedName name="UFP_WV" localSheetId="1">#REF!</definedName>
    <definedName name="UFP_WV" localSheetId="4">#REF!</definedName>
    <definedName name="UFP_WV" localSheetId="14">#REF!</definedName>
    <definedName name="UFP_WV">#REF!</definedName>
    <definedName name="UFS_RR" localSheetId="11">'[4]Urban Filter Strips'!$D$16</definedName>
    <definedName name="UFS_RR">'[2]Urban Filter Strips'!$D$16</definedName>
    <definedName name="UFS_ST" localSheetId="11">'[4]Urban Filter Strips'!$G$16</definedName>
    <definedName name="UFS_ST">'[2]Urban Filter Strips'!$G$16</definedName>
    <definedName name="UGB_Cap_DE" localSheetId="11">#REF!</definedName>
    <definedName name="UGB_Cap_DE" localSheetId="1">#REF!</definedName>
    <definedName name="UGB_Cap_DE" localSheetId="4">#REF!</definedName>
    <definedName name="UGB_Cap_DE">#REF!</definedName>
    <definedName name="UGB_Cap_MD" localSheetId="11">#REF!</definedName>
    <definedName name="UGB_Cap_MD" localSheetId="1">#REF!</definedName>
    <definedName name="UGB_Cap_MD" localSheetId="4">#REF!</definedName>
    <definedName name="UGB_Cap_MD">#REF!</definedName>
    <definedName name="UGB_Cap_NY" localSheetId="11">#REF!</definedName>
    <definedName name="UGB_Cap_NY" localSheetId="1">#REF!</definedName>
    <definedName name="UGB_Cap_NY" localSheetId="4">#REF!</definedName>
    <definedName name="UGB_Cap_NY">#REF!</definedName>
    <definedName name="UGB_Cap_PA" localSheetId="11">#REF!</definedName>
    <definedName name="UGB_Cap_PA" localSheetId="1">#REF!</definedName>
    <definedName name="UGB_Cap_PA" localSheetId="4">#REF!</definedName>
    <definedName name="UGB_Cap_PA">#REF!</definedName>
    <definedName name="UGB_Cap_VA" localSheetId="11">#REF!</definedName>
    <definedName name="UGB_Cap_VA" localSheetId="1">#REF!</definedName>
    <definedName name="UGB_Cap_VA" localSheetId="4">#REF!</definedName>
    <definedName name="UGB_Cap_VA">#REF!</definedName>
    <definedName name="UGB_Cap_Watershed" localSheetId="11">#REF!</definedName>
    <definedName name="UGB_Cap_Watershed" localSheetId="1">#REF!</definedName>
    <definedName name="UGB_Cap_Watershed" localSheetId="4">#REF!</definedName>
    <definedName name="UGB_Cap_Watershed">#REF!</definedName>
    <definedName name="UGB_Cap_WV" localSheetId="11">#REF!</definedName>
    <definedName name="UGB_Cap_WV" localSheetId="1">#REF!</definedName>
    <definedName name="UGB_Cap_WV" localSheetId="4">#REF!</definedName>
    <definedName name="UGB_Cap_WV">#REF!</definedName>
    <definedName name="UGB_DE" localSheetId="11">#REF!</definedName>
    <definedName name="UGB_DE" localSheetId="1">#REF!</definedName>
    <definedName name="UGB_DE" localSheetId="4">#REF!</definedName>
    <definedName name="UGB_DE">#REF!</definedName>
    <definedName name="UGB_MD" localSheetId="11">#REF!</definedName>
    <definedName name="UGB_MD" localSheetId="1">#REF!</definedName>
    <definedName name="UGB_MD" localSheetId="4">#REF!</definedName>
    <definedName name="UGB_MD">#REF!</definedName>
    <definedName name="UGB_NY" localSheetId="11">#REF!</definedName>
    <definedName name="UGB_NY" localSheetId="1">#REF!</definedName>
    <definedName name="UGB_NY" localSheetId="4">#REF!</definedName>
    <definedName name="UGB_NY">#REF!</definedName>
    <definedName name="UGB_OM_DE" localSheetId="11">#REF!</definedName>
    <definedName name="UGB_OM_DE" localSheetId="1">#REF!</definedName>
    <definedName name="UGB_OM_DE" localSheetId="4">#REF!</definedName>
    <definedName name="UGB_OM_DE">#REF!</definedName>
    <definedName name="UGB_OM_MD" localSheetId="11">#REF!</definedName>
    <definedName name="UGB_OM_MD" localSheetId="1">#REF!</definedName>
    <definedName name="UGB_OM_MD" localSheetId="4">#REF!</definedName>
    <definedName name="UGB_OM_MD">#REF!</definedName>
    <definedName name="UGB_OM_NY" localSheetId="11">#REF!</definedName>
    <definedName name="UGB_OM_NY" localSheetId="1">#REF!</definedName>
    <definedName name="UGB_OM_NY" localSheetId="4">#REF!</definedName>
    <definedName name="UGB_OM_NY">#REF!</definedName>
    <definedName name="UGB_OM_PA" localSheetId="11">#REF!</definedName>
    <definedName name="UGB_OM_PA" localSheetId="1">#REF!</definedName>
    <definedName name="UGB_OM_PA" localSheetId="4">#REF!</definedName>
    <definedName name="UGB_OM_PA">#REF!</definedName>
    <definedName name="UGB_OM_VA" localSheetId="11">#REF!</definedName>
    <definedName name="UGB_OM_VA" localSheetId="1">#REF!</definedName>
    <definedName name="UGB_OM_VA" localSheetId="4">#REF!</definedName>
    <definedName name="UGB_OM_VA">#REF!</definedName>
    <definedName name="UGB_OM_Watershed" localSheetId="11">#REF!</definedName>
    <definedName name="UGB_OM_Watershed" localSheetId="1">#REF!</definedName>
    <definedName name="UGB_OM_Watershed" localSheetId="4">#REF!</definedName>
    <definedName name="UGB_OM_Watershed">#REF!</definedName>
    <definedName name="UGB_OM_WV" localSheetId="11">#REF!</definedName>
    <definedName name="UGB_OM_WV" localSheetId="1">#REF!</definedName>
    <definedName name="UGB_OM_WV" localSheetId="4">#REF!</definedName>
    <definedName name="UGB_OM_WV">#REF!</definedName>
    <definedName name="UGB_PA" localSheetId="11">#REF!</definedName>
    <definedName name="UGB_PA" localSheetId="1">#REF!</definedName>
    <definedName name="UGB_PA" localSheetId="4">#REF!</definedName>
    <definedName name="UGB_PA">#REF!</definedName>
    <definedName name="UGB_VA" localSheetId="11">#REF!</definedName>
    <definedName name="UGB_VA" localSheetId="1">#REF!</definedName>
    <definedName name="UGB_VA" localSheetId="4">#REF!</definedName>
    <definedName name="UGB_VA">#REF!</definedName>
    <definedName name="UGB_Watershed" localSheetId="11">#REF!</definedName>
    <definedName name="UGB_Watershed" localSheetId="1">#REF!</definedName>
    <definedName name="UGB_Watershed" localSheetId="4">#REF!</definedName>
    <definedName name="UGB_Watershed">#REF!</definedName>
    <definedName name="UGB_WV" localSheetId="11">#REF!</definedName>
    <definedName name="UGB_WV" localSheetId="1">#REF!</definedName>
    <definedName name="UGB_WV" localSheetId="4">#REF!</definedName>
    <definedName name="UGB_WV">#REF!</definedName>
    <definedName name="UGR_Watershed" localSheetId="5">#REF!</definedName>
    <definedName name="UGR_Watershed" localSheetId="11">#REF!</definedName>
    <definedName name="UGR_Watershed" localSheetId="1">#REF!</definedName>
    <definedName name="UGR_Watershed" localSheetId="4">#REF!</definedName>
    <definedName name="UGR_Watershed" localSheetId="14">#REF!</definedName>
    <definedName name="UGR_Watershed">#REF!</definedName>
    <definedName name="UIP_noSV_DC" localSheetId="5">#REF!</definedName>
    <definedName name="UIP_noSV_DC" localSheetId="11">#REF!</definedName>
    <definedName name="UIP_noSV_DC" localSheetId="1">#REF!</definedName>
    <definedName name="UIP_noSV_DC" localSheetId="4">#REF!</definedName>
    <definedName name="UIP_noSV_DC" localSheetId="14">#REF!</definedName>
    <definedName name="UIP_noSV_DC">#REF!</definedName>
    <definedName name="UIP_noSV_DE" localSheetId="5">#REF!</definedName>
    <definedName name="UIP_noSV_DE" localSheetId="11">#REF!</definedName>
    <definedName name="UIP_noSV_DE" localSheetId="1">#REF!</definedName>
    <definedName name="UIP_noSV_DE" localSheetId="4">#REF!</definedName>
    <definedName name="UIP_noSV_DE" localSheetId="14">#REF!</definedName>
    <definedName name="UIP_noSV_DE">#REF!</definedName>
    <definedName name="UIP_noSV_MD" localSheetId="5">#REF!</definedName>
    <definedName name="UIP_noSV_MD" localSheetId="11">#REF!</definedName>
    <definedName name="UIP_noSV_MD" localSheetId="1">#REF!</definedName>
    <definedName name="UIP_noSV_MD" localSheetId="4">#REF!</definedName>
    <definedName name="UIP_noSV_MD" localSheetId="14">#REF!</definedName>
    <definedName name="UIP_noSV_MD">#REF!</definedName>
    <definedName name="UIP_noSV_NY" localSheetId="5">#REF!</definedName>
    <definedName name="UIP_noSV_NY" localSheetId="11">#REF!</definedName>
    <definedName name="UIP_noSV_NY" localSheetId="1">#REF!</definedName>
    <definedName name="UIP_noSV_NY" localSheetId="4">#REF!</definedName>
    <definedName name="UIP_noSV_NY" localSheetId="14">#REF!</definedName>
    <definedName name="UIP_noSV_NY">#REF!</definedName>
    <definedName name="UIP_noSV_PA" localSheetId="5">#REF!</definedName>
    <definedName name="UIP_noSV_PA" localSheetId="11">#REF!</definedName>
    <definedName name="UIP_noSV_PA" localSheetId="1">#REF!</definedName>
    <definedName name="UIP_noSV_PA" localSheetId="4">#REF!</definedName>
    <definedName name="UIP_noSV_PA" localSheetId="14">#REF!</definedName>
    <definedName name="UIP_noSV_PA">#REF!</definedName>
    <definedName name="UIP_noSV_VA" localSheetId="5">#REF!</definedName>
    <definedName name="UIP_noSV_VA" localSheetId="11">#REF!</definedName>
    <definedName name="UIP_noSV_VA" localSheetId="1">#REF!</definedName>
    <definedName name="UIP_noSV_VA" localSheetId="4">#REF!</definedName>
    <definedName name="UIP_noSV_VA" localSheetId="14">#REF!</definedName>
    <definedName name="UIP_noSV_VA">#REF!</definedName>
    <definedName name="UIP_noSV_Watershed" localSheetId="5">#REF!</definedName>
    <definedName name="UIP_noSV_Watershed" localSheetId="11">#REF!</definedName>
    <definedName name="UIP_noSV_Watershed" localSheetId="1">#REF!</definedName>
    <definedName name="UIP_noSV_Watershed" localSheetId="4">#REF!</definedName>
    <definedName name="UIP_noSV_Watershed" localSheetId="14">#REF!</definedName>
    <definedName name="UIP_noSV_Watershed">#REF!</definedName>
    <definedName name="UIP_noSV_WV" localSheetId="5">#REF!</definedName>
    <definedName name="UIP_noSV_WV" localSheetId="11">#REF!</definedName>
    <definedName name="UIP_noSV_WV" localSheetId="1">#REF!</definedName>
    <definedName name="UIP_noSV_WV" localSheetId="4">#REF!</definedName>
    <definedName name="UIP_noSV_WV" localSheetId="14">#REF!</definedName>
    <definedName name="UIP_noSV_WV">#REF!</definedName>
    <definedName name="UIP_SV_DC" localSheetId="5">#REF!</definedName>
    <definedName name="UIP_SV_DC" localSheetId="11">#REF!</definedName>
    <definedName name="UIP_SV_DC" localSheetId="1">#REF!</definedName>
    <definedName name="UIP_SV_DC" localSheetId="4">#REF!</definedName>
    <definedName name="UIP_SV_DC" localSheetId="14">#REF!</definedName>
    <definedName name="UIP_SV_DC">#REF!</definedName>
    <definedName name="UIP_SV_DE" localSheetId="5">#REF!</definedName>
    <definedName name="UIP_SV_DE" localSheetId="11">#REF!</definedName>
    <definedName name="UIP_SV_DE" localSheetId="1">#REF!</definedName>
    <definedName name="UIP_SV_DE" localSheetId="4">#REF!</definedName>
    <definedName name="UIP_SV_DE" localSheetId="14">#REF!</definedName>
    <definedName name="UIP_SV_DE">#REF!</definedName>
    <definedName name="UIP_SV_MD" localSheetId="5">#REF!</definedName>
    <definedName name="UIP_SV_MD" localSheetId="11">#REF!</definedName>
    <definedName name="UIP_SV_MD" localSheetId="1">#REF!</definedName>
    <definedName name="UIP_SV_MD" localSheetId="4">#REF!</definedName>
    <definedName name="UIP_SV_MD" localSheetId="14">#REF!</definedName>
    <definedName name="UIP_SV_MD">#REF!</definedName>
    <definedName name="UIP_SV_NY" localSheetId="5">#REF!</definedName>
    <definedName name="UIP_SV_NY" localSheetId="11">#REF!</definedName>
    <definedName name="UIP_SV_NY" localSheetId="1">#REF!</definedName>
    <definedName name="UIP_SV_NY" localSheetId="4">#REF!</definedName>
    <definedName name="UIP_SV_NY" localSheetId="14">#REF!</definedName>
    <definedName name="UIP_SV_NY">#REF!</definedName>
    <definedName name="UIP_SV_PA" localSheetId="5">#REF!</definedName>
    <definedName name="UIP_SV_PA" localSheetId="11">#REF!</definedName>
    <definedName name="UIP_SV_PA" localSheetId="1">#REF!</definedName>
    <definedName name="UIP_SV_PA" localSheetId="4">#REF!</definedName>
    <definedName name="UIP_SV_PA" localSheetId="14">#REF!</definedName>
    <definedName name="UIP_SV_PA">#REF!</definedName>
    <definedName name="UIP_SV_VA" localSheetId="5">#REF!</definedName>
    <definedName name="UIP_SV_VA" localSheetId="11">#REF!</definedName>
    <definedName name="UIP_SV_VA" localSheetId="1">#REF!</definedName>
    <definedName name="UIP_SV_VA" localSheetId="4">#REF!</definedName>
    <definedName name="UIP_SV_VA" localSheetId="14">#REF!</definedName>
    <definedName name="UIP_SV_VA">#REF!</definedName>
    <definedName name="UIP_SV_Watershed" localSheetId="5">#REF!</definedName>
    <definedName name="UIP_SV_Watershed" localSheetId="11">#REF!</definedName>
    <definedName name="UIP_SV_Watershed" localSheetId="1">#REF!</definedName>
    <definedName name="UIP_SV_Watershed" localSheetId="4">#REF!</definedName>
    <definedName name="UIP_SV_Watershed" localSheetId="14">#REF!</definedName>
    <definedName name="UIP_SV_Watershed">#REF!</definedName>
    <definedName name="UIP_SV_WV" localSheetId="5">#REF!</definedName>
    <definedName name="UIP_SV_WV" localSheetId="11">#REF!</definedName>
    <definedName name="UIP_SV_WV" localSheetId="1">#REF!</definedName>
    <definedName name="UIP_SV_WV" localSheetId="4">#REF!</definedName>
    <definedName name="UIP_SV_WV" localSheetId="14">#REF!</definedName>
    <definedName name="UIP_SV_WV">#REF!</definedName>
    <definedName name="UNM_Watershed" localSheetId="5">#REF!</definedName>
    <definedName name="UNM_Watershed" localSheetId="11">#REF!</definedName>
    <definedName name="UNM_Watershed" localSheetId="1">#REF!</definedName>
    <definedName name="UNM_Watershed" localSheetId="4">#REF!</definedName>
    <definedName name="UNM_Watershed" localSheetId="14">#REF!</definedName>
    <definedName name="UNM_Watershed">#REF!</definedName>
    <definedName name="USR_DC" localSheetId="5">'15. Stream Restoration'!#REF!</definedName>
    <definedName name="USR_DC" localSheetId="11">#REF!</definedName>
    <definedName name="USR_DC" localSheetId="1">#REF!</definedName>
    <definedName name="USR_DC" localSheetId="4">#REF!</definedName>
    <definedName name="USR_DC" localSheetId="14">'Oyster Reef Restoration'!#REF!</definedName>
    <definedName name="USR_DC">#REF!</definedName>
    <definedName name="USR_DE" localSheetId="5">'15. Stream Restoration'!#REF!</definedName>
    <definedName name="USR_DE" localSheetId="11">#REF!</definedName>
    <definedName name="USR_DE" localSheetId="1">#REF!</definedName>
    <definedName name="USR_DE" localSheetId="4">#REF!</definedName>
    <definedName name="USR_DE" localSheetId="14">'Oyster Reef Restoration'!#REF!</definedName>
    <definedName name="USR_DE">#REF!</definedName>
    <definedName name="USR_MD" localSheetId="5">'15. Stream Restoration'!#REF!</definedName>
    <definedName name="USR_MD" localSheetId="11">#REF!</definedName>
    <definedName name="USR_MD" localSheetId="1">#REF!</definedName>
    <definedName name="USR_MD" localSheetId="4">#REF!</definedName>
    <definedName name="USR_MD" localSheetId="14">'Oyster Reef Restoration'!#REF!</definedName>
    <definedName name="USR_MD">#REF!</definedName>
    <definedName name="USR_NY" localSheetId="5">'15. Stream Restoration'!#REF!</definedName>
    <definedName name="USR_NY" localSheetId="11">#REF!</definedName>
    <definedName name="USR_NY" localSheetId="1">#REF!</definedName>
    <definedName name="USR_NY" localSheetId="4">#REF!</definedName>
    <definedName name="USR_NY" localSheetId="14">'Oyster Reef Restoration'!#REF!</definedName>
    <definedName name="USR_NY">#REF!</definedName>
    <definedName name="USR_PA" localSheetId="5">'15. Stream Restoration'!#REF!</definedName>
    <definedName name="USR_PA" localSheetId="11">#REF!</definedName>
    <definedName name="USR_PA" localSheetId="1">#REF!</definedName>
    <definedName name="USR_PA" localSheetId="4">#REF!</definedName>
    <definedName name="USR_PA" localSheetId="14">'Oyster Reef Restoration'!#REF!</definedName>
    <definedName name="USR_PA">#REF!</definedName>
    <definedName name="USR_VA" localSheetId="5">'15. Stream Restoration'!#REF!</definedName>
    <definedName name="USR_VA" localSheetId="11">#REF!</definedName>
    <definedName name="USR_VA" localSheetId="1">#REF!</definedName>
    <definedName name="USR_VA" localSheetId="4">#REF!</definedName>
    <definedName name="USR_VA" localSheetId="14">'Oyster Reef Restoration'!#REF!</definedName>
    <definedName name="USR_VA">#REF!</definedName>
    <definedName name="USR_Watershed" localSheetId="11">#REF!</definedName>
    <definedName name="USR_Watershed" localSheetId="1">#REF!</definedName>
    <definedName name="USR_Watershed" localSheetId="4">#REF!</definedName>
    <definedName name="USR_Watershed">#REF!</definedName>
    <definedName name="USR_WV" localSheetId="5">'15. Stream Restoration'!#REF!</definedName>
    <definedName name="USR_WV" localSheetId="11">#REF!</definedName>
    <definedName name="USR_WV" localSheetId="1">#REF!</definedName>
    <definedName name="USR_WV" localSheetId="4">#REF!</definedName>
    <definedName name="USR_WV" localSheetId="14">'Oyster Reef Restoration'!#REF!</definedName>
    <definedName name="USR_WV">#REF!</definedName>
    <definedName name="VA" localSheetId="6">#REF!</definedName>
    <definedName name="VA" localSheetId="1">#REF!</definedName>
    <definedName name="VA" localSheetId="4">#REF!</definedName>
    <definedName name="VA" localSheetId="15">#REF!</definedName>
    <definedName name="VA" localSheetId="16">#REF!</definedName>
    <definedName name="VA">#REF!</definedName>
    <definedName name="VA_Buffer_ARR" localSheetId="5">'[8]Opportuniy Cost'!$E$26</definedName>
    <definedName name="VA_Buffer_ARR" localSheetId="6">'[3]Opportuniy Cost'!$E$26</definedName>
    <definedName name="VA_Buffer_ARR" localSheetId="9">'[8]Opportuniy Cost'!$E$26</definedName>
    <definedName name="VA_Buffer_ARR" localSheetId="11">'[8]Opportuniy Cost'!$E$26</definedName>
    <definedName name="VA_Buffer_ARR" localSheetId="1">'[3]Opportuniy Cost'!$E$26</definedName>
    <definedName name="VA_Buffer_ARR" localSheetId="4">'[1]Opportuniy Cost'!$E$26</definedName>
    <definedName name="VA_Buffer_ARR" localSheetId="14">'[8]Opportuniy Cost'!$E$26</definedName>
    <definedName name="VA_Buffer_ARR" localSheetId="15">#REF!</definedName>
    <definedName name="VA_Buffer_ARR" localSheetId="16">'[3]Opportuniy Cost'!$E$26</definedName>
    <definedName name="VA_Buffer_ARR">'[5]Opportuniy Cost'!$E$26</definedName>
    <definedName name="VA_Impervious">#REF!</definedName>
    <definedName name="VA_Wetland_ARR" localSheetId="6">'[3]Opportuniy Cost'!$E$28</definedName>
    <definedName name="VA_Wetland_ARR" localSheetId="1">'[3]Opportuniy Cost'!$E$28</definedName>
    <definedName name="VA_Wetland_ARR" localSheetId="4">'[1]Opportuniy Cost'!$E$28</definedName>
    <definedName name="VA_Wetland_ARR" localSheetId="15">#REF!</definedName>
    <definedName name="VA_Wetland_ARR" localSheetId="16">'[3]Opportuniy Cost'!$E$28</definedName>
    <definedName name="VA_Wetland_ARR">'[5]Opportuniy Cost'!$E$28</definedName>
    <definedName name="VAcrop">'Opportunity Cost'!$C$7</definedName>
    <definedName name="Vegetated_Channel_Imperviousness_ratio">[7]Assumptions!$T$10</definedName>
    <definedName name="VOC_DC" localSheetId="11">#REF!</definedName>
    <definedName name="VOC_DC" localSheetId="1">#REF!</definedName>
    <definedName name="VOC_DC" localSheetId="4">#REF!</definedName>
    <definedName name="VOC_DC">#REF!</definedName>
    <definedName name="VOC_DE" localSheetId="11">#REF!</definedName>
    <definedName name="VOC_DE" localSheetId="1">#REF!</definedName>
    <definedName name="VOC_DE" localSheetId="4">#REF!</definedName>
    <definedName name="VOC_DE">#REF!</definedName>
    <definedName name="VOC_MD" localSheetId="11">#REF!</definedName>
    <definedName name="VOC_MD" localSheetId="1">#REF!</definedName>
    <definedName name="VOC_MD" localSheetId="4">#REF!</definedName>
    <definedName name="VOC_MD">#REF!</definedName>
    <definedName name="VOC_NY" localSheetId="11">#REF!</definedName>
    <definedName name="VOC_NY" localSheetId="1">#REF!</definedName>
    <definedName name="VOC_NY" localSheetId="4">#REF!</definedName>
    <definedName name="VOC_NY">#REF!</definedName>
    <definedName name="VOC_PA" localSheetId="11">#REF!</definedName>
    <definedName name="VOC_PA" localSheetId="1">#REF!</definedName>
    <definedName name="VOC_PA" localSheetId="4">#REF!</definedName>
    <definedName name="VOC_PA">#REF!</definedName>
    <definedName name="VOC_VA" localSheetId="11">#REF!</definedName>
    <definedName name="VOC_VA" localSheetId="1">#REF!</definedName>
    <definedName name="VOC_VA" localSheetId="4">#REF!</definedName>
    <definedName name="VOC_VA">#REF!</definedName>
    <definedName name="VOC_Watershed" localSheetId="11">#REF!</definedName>
    <definedName name="VOC_Watershed" localSheetId="1">#REF!</definedName>
    <definedName name="VOC_Watershed" localSheetId="4">#REF!</definedName>
    <definedName name="VOC_Watershed">#REF!</definedName>
    <definedName name="VOC_WV" localSheetId="11">#REF!</definedName>
    <definedName name="VOC_WV" localSheetId="1">#REF!</definedName>
    <definedName name="VOC_WV" localSheetId="4">#REF!</definedName>
    <definedName name="VOC_WV">#REF!</definedName>
    <definedName name="Watershed_Impervious">#REF!</definedName>
    <definedName name="WCS_Watershed" localSheetId="6">#REF!</definedName>
    <definedName name="WCS_Watershed" localSheetId="1">#REF!</definedName>
    <definedName name="WCS_Watershed" localSheetId="4">'[1]Water Control Structures'!$E$8</definedName>
    <definedName name="WCS_Watershed" localSheetId="15">#REF!</definedName>
    <definedName name="WCS_Watershed" localSheetId="16">#REF!</definedName>
    <definedName name="WCS_Watershed">#REF!</definedName>
    <definedName name="WETLANDS" localSheetId="11">#REF!</definedName>
    <definedName name="WETLANDS" localSheetId="1">#REF!</definedName>
    <definedName name="WETLANDS" localSheetId="4">#REF!</definedName>
    <definedName name="WETLANDS">#REF!</definedName>
    <definedName name="Wetlands\Wetponds_Imperviousness_ratio">[7]Assumptions!$T$11</definedName>
    <definedName name="WR_DE" localSheetId="6">#REF!</definedName>
    <definedName name="WR_DE" localSheetId="1">#REF!</definedName>
    <definedName name="WR_DE" localSheetId="4">'[1]Wetland Restoration'!$E$11</definedName>
    <definedName name="WR_DE" localSheetId="15">#REF!</definedName>
    <definedName name="WR_DE" localSheetId="16">#REF!</definedName>
    <definedName name="WR_DE">#REF!</definedName>
    <definedName name="WR_MD" localSheetId="6">#REF!</definedName>
    <definedName name="WR_MD" localSheetId="1">#REF!</definedName>
    <definedName name="WR_MD" localSheetId="4">'[1]Wetland Restoration'!$B$11</definedName>
    <definedName name="WR_MD" localSheetId="15">#REF!</definedName>
    <definedName name="WR_MD" localSheetId="16">#REF!</definedName>
    <definedName name="WR_MD">#REF!</definedName>
    <definedName name="WR_NY" localSheetId="6">#REF!</definedName>
    <definedName name="WR_NY" localSheetId="1">#REF!</definedName>
    <definedName name="WR_NY" localSheetId="4">'[1]Wetland Restoration'!$C$11</definedName>
    <definedName name="WR_NY" localSheetId="15">#REF!</definedName>
    <definedName name="WR_NY" localSheetId="16">#REF!</definedName>
    <definedName name="WR_NY">#REF!</definedName>
    <definedName name="WR_PA" localSheetId="6">#REF!</definedName>
    <definedName name="WR_PA" localSheetId="1">#REF!</definedName>
    <definedName name="WR_PA" localSheetId="4">'[1]Wetland Restoration'!$D$11</definedName>
    <definedName name="WR_PA" localSheetId="15">#REF!</definedName>
    <definedName name="WR_PA" localSheetId="16">#REF!</definedName>
    <definedName name="WR_PA">#REF!</definedName>
    <definedName name="WR_VA" localSheetId="6">#REF!</definedName>
    <definedName name="WR_VA" localSheetId="1">#REF!</definedName>
    <definedName name="WR_VA" localSheetId="4">'[1]Wetland Restoration'!$F$11</definedName>
    <definedName name="WR_VA" localSheetId="15">#REF!</definedName>
    <definedName name="WR_VA" localSheetId="16">#REF!</definedName>
    <definedName name="WR_VA">#REF!</definedName>
    <definedName name="WR_WV" localSheetId="6">#REF!</definedName>
    <definedName name="WR_WV" localSheetId="1">#REF!</definedName>
    <definedName name="WR_WV" localSheetId="4">'[1]Wetland Restoration'!$G$11</definedName>
    <definedName name="WR_WV" localSheetId="15">#REF!</definedName>
    <definedName name="WR_WV" localSheetId="16">#REF!</definedName>
    <definedName name="WR_WV">#REF!</definedName>
    <definedName name="WScrop">'Opportunity Cost'!$C$9</definedName>
    <definedName name="WV_Buffer_ARR" localSheetId="5">'[8]Opportuniy Cost'!$E$30</definedName>
    <definedName name="WV_Buffer_ARR" localSheetId="6">'[3]Opportuniy Cost'!$E$30</definedName>
    <definedName name="WV_Buffer_ARR" localSheetId="9">'[8]Opportuniy Cost'!$E$30</definedName>
    <definedName name="WV_Buffer_ARR" localSheetId="11">'[8]Opportuniy Cost'!$E$30</definedName>
    <definedName name="WV_Buffer_ARR" localSheetId="1">'[3]Opportuniy Cost'!$E$30</definedName>
    <definedName name="WV_Buffer_ARR" localSheetId="4">'[1]Opportuniy Cost'!$E$30</definedName>
    <definedName name="WV_Buffer_ARR" localSheetId="14">'[8]Opportuniy Cost'!$E$30</definedName>
    <definedName name="WV_Buffer_ARR" localSheetId="15">#REF!</definedName>
    <definedName name="WV_Buffer_ARR" localSheetId="16">'[3]Opportuniy Cost'!$E$30</definedName>
    <definedName name="WV_Buffer_ARR">'[5]Opportuniy Cost'!$E$30</definedName>
    <definedName name="WV_Impervious">#REF!</definedName>
    <definedName name="WV_Wetland_ARR" localSheetId="15">#REF!</definedName>
    <definedName name="WV_Wetland_ARR">'[1]Opportuniy Cost'!$E$32</definedName>
    <definedName name="WVcrop">'Opportunity Cost'!$C$8</definedName>
    <definedName name="WWP_DC" localSheetId="5">#REF!</definedName>
    <definedName name="WWP_DC" localSheetId="11">#REF!</definedName>
    <definedName name="WWP_DC" localSheetId="1">#REF!</definedName>
    <definedName name="WWP_DC" localSheetId="4">#REF!</definedName>
    <definedName name="WWP_DC" localSheetId="14">#REF!</definedName>
    <definedName name="WWP_DC">#REF!</definedName>
    <definedName name="WWP_DE" localSheetId="5">#REF!</definedName>
    <definedName name="WWP_DE" localSheetId="11">#REF!</definedName>
    <definedName name="WWP_DE" localSheetId="1">#REF!</definedName>
    <definedName name="WWP_DE" localSheetId="4">#REF!</definedName>
    <definedName name="WWP_DE" localSheetId="14">#REF!</definedName>
    <definedName name="WWP_DE">#REF!</definedName>
    <definedName name="WWP_MD" localSheetId="5">#REF!</definedName>
    <definedName name="WWP_MD" localSheetId="11">#REF!</definedName>
    <definedName name="WWP_MD" localSheetId="1">#REF!</definedName>
    <definedName name="WWP_MD" localSheetId="4">#REF!</definedName>
    <definedName name="WWP_MD" localSheetId="14">#REF!</definedName>
    <definedName name="WWP_MD">#REF!</definedName>
    <definedName name="WWP_NY" localSheetId="5">#REF!</definedName>
    <definedName name="WWP_NY" localSheetId="11">#REF!</definedName>
    <definedName name="WWP_NY" localSheetId="1">#REF!</definedName>
    <definedName name="WWP_NY" localSheetId="4">#REF!</definedName>
    <definedName name="WWP_NY" localSheetId="14">#REF!</definedName>
    <definedName name="WWP_NY">#REF!</definedName>
    <definedName name="WWP_PA" localSheetId="5">#REF!</definedName>
    <definedName name="WWP_PA" localSheetId="11">#REF!</definedName>
    <definedName name="WWP_PA" localSheetId="1">#REF!</definedName>
    <definedName name="WWP_PA" localSheetId="4">#REF!</definedName>
    <definedName name="WWP_PA" localSheetId="14">#REF!</definedName>
    <definedName name="WWP_PA">#REF!</definedName>
    <definedName name="WWP_VA" localSheetId="5">#REF!</definedName>
    <definedName name="WWP_VA" localSheetId="11">#REF!</definedName>
    <definedName name="WWP_VA" localSheetId="1">#REF!</definedName>
    <definedName name="WWP_VA" localSheetId="4">#REF!</definedName>
    <definedName name="WWP_VA" localSheetId="14">#REF!</definedName>
    <definedName name="WWP_VA">#REF!</definedName>
    <definedName name="WWP_Watershed" localSheetId="5">#REF!</definedName>
    <definedName name="WWP_Watershed" localSheetId="11">#REF!</definedName>
    <definedName name="WWP_Watershed" localSheetId="1">#REF!</definedName>
    <definedName name="WWP_Watershed" localSheetId="4">#REF!</definedName>
    <definedName name="WWP_Watershed" localSheetId="14">#REF!</definedName>
    <definedName name="WWP_Watershed">#REF!</definedName>
    <definedName name="WWP_WV" localSheetId="5">#REF!</definedName>
    <definedName name="WWP_WV" localSheetId="11">#REF!</definedName>
    <definedName name="WWP_WV" localSheetId="1">#REF!</definedName>
    <definedName name="WWP_WV" localSheetId="4">#REF!</definedName>
    <definedName name="WWP_WV" localSheetId="14">#REF!</definedName>
    <definedName name="WWP_WV">#REF!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9" l="1"/>
  <c r="D8" i="19"/>
  <c r="C8" i="19"/>
  <c r="C11" i="19" s="1"/>
  <c r="B8" i="19"/>
  <c r="I52" i="14" l="1"/>
  <c r="C52" i="14"/>
  <c r="B6" i="15"/>
  <c r="F47" i="14" l="1"/>
  <c r="G47" i="14" l="1"/>
  <c r="F52" i="14"/>
  <c r="G52" i="14" s="1"/>
  <c r="F50" i="14"/>
  <c r="G50" i="14" s="1"/>
  <c r="F48" i="14"/>
  <c r="G48" i="14" s="1"/>
  <c r="F46" i="14"/>
  <c r="G46" i="14" s="1"/>
  <c r="F49" i="14"/>
  <c r="G49" i="14" s="1"/>
  <c r="K46" i="16"/>
  <c r="J46" i="16"/>
  <c r="I46" i="16"/>
  <c r="H46" i="16"/>
  <c r="G46" i="16"/>
  <c r="F46" i="16"/>
  <c r="E46" i="16"/>
  <c r="D46" i="16"/>
  <c r="C46" i="16"/>
  <c r="B46" i="16"/>
  <c r="K45" i="16"/>
  <c r="J45" i="16"/>
  <c r="I45" i="16"/>
  <c r="H45" i="16"/>
  <c r="G45" i="16"/>
  <c r="F45" i="16"/>
  <c r="E45" i="16"/>
  <c r="D45" i="16"/>
  <c r="C45" i="16"/>
  <c r="B45" i="16"/>
  <c r="K44" i="16"/>
  <c r="J44" i="16"/>
  <c r="I44" i="16"/>
  <c r="H44" i="16"/>
  <c r="G44" i="16"/>
  <c r="F44" i="16"/>
  <c r="E44" i="16"/>
  <c r="D44" i="16"/>
  <c r="C44" i="16"/>
  <c r="B44" i="16"/>
  <c r="K43" i="16"/>
  <c r="J43" i="16"/>
  <c r="I43" i="16"/>
  <c r="H43" i="16"/>
  <c r="G43" i="16"/>
  <c r="F43" i="16"/>
  <c r="E43" i="16"/>
  <c r="D43" i="16"/>
  <c r="C43" i="16"/>
  <c r="B43" i="16"/>
  <c r="E17" i="5"/>
  <c r="C18" i="18" l="1"/>
  <c r="D18" i="18"/>
  <c r="E18" i="18"/>
  <c r="B18" i="18"/>
  <c r="C17" i="18"/>
  <c r="D17" i="18"/>
  <c r="E17" i="18"/>
  <c r="B17" i="18"/>
  <c r="D13" i="18"/>
  <c r="F11" i="18"/>
  <c r="F10" i="18"/>
  <c r="D15" i="18"/>
  <c r="C8" i="18"/>
  <c r="F8" i="18" s="1"/>
  <c r="C7" i="18"/>
  <c r="F7" i="18" s="1"/>
  <c r="C6" i="18"/>
  <c r="F6" i="18" s="1"/>
  <c r="C5" i="18"/>
  <c r="F5" i="18" s="1"/>
  <c r="C4" i="18"/>
  <c r="F4" i="18" s="1"/>
  <c r="B4" i="18"/>
  <c r="C3" i="18"/>
  <c r="C15" i="18" s="1"/>
  <c r="E15" i="18" l="1"/>
  <c r="F12" i="18"/>
  <c r="B15" i="18"/>
  <c r="F15" i="18" s="1"/>
  <c r="F14" i="18"/>
  <c r="F3" i="18"/>
  <c r="F9" i="18"/>
  <c r="F13" i="18"/>
  <c r="D7" i="13"/>
  <c r="C7" i="13"/>
  <c r="E13" i="4"/>
  <c r="D13" i="4"/>
  <c r="C13" i="4"/>
  <c r="B13" i="4"/>
  <c r="E12" i="4"/>
  <c r="D12" i="4"/>
  <c r="C12" i="4"/>
  <c r="B12" i="4"/>
  <c r="F9" i="6"/>
  <c r="E9" i="6"/>
  <c r="D9" i="6"/>
  <c r="C9" i="6"/>
  <c r="B9" i="6"/>
  <c r="B10" i="6" s="1"/>
  <c r="B16" i="5"/>
  <c r="D16" i="5"/>
  <c r="C16" i="5"/>
  <c r="B10" i="5"/>
  <c r="C12" i="2" l="1"/>
  <c r="F10" i="4"/>
  <c r="H19" i="3"/>
  <c r="C5" i="8"/>
  <c r="C6" i="8"/>
  <c r="C7" i="8"/>
  <c r="C8" i="8"/>
  <c r="C9" i="8"/>
  <c r="C10" i="8"/>
  <c r="C11" i="8"/>
  <c r="C12" i="8"/>
  <c r="C13" i="8"/>
  <c r="C14" i="8"/>
  <c r="C15" i="8"/>
  <c r="C16" i="8"/>
  <c r="C17" i="8"/>
  <c r="C18" i="8"/>
  <c r="C19" i="8"/>
  <c r="C20" i="8"/>
  <c r="C21" i="8"/>
  <c r="C22" i="8"/>
  <c r="C4" i="8"/>
  <c r="D4" i="8"/>
  <c r="D5" i="8"/>
  <c r="D6" i="8"/>
  <c r="D7" i="8"/>
  <c r="D8" i="8"/>
  <c r="D9" i="8"/>
  <c r="D10" i="8"/>
  <c r="D11" i="8"/>
  <c r="D12" i="8"/>
  <c r="D13" i="8"/>
  <c r="D14" i="8"/>
  <c r="D15" i="8"/>
  <c r="D16" i="8"/>
  <c r="D17" i="8"/>
  <c r="D18" i="8"/>
  <c r="D19" i="8"/>
  <c r="D20" i="8"/>
  <c r="D12" i="3" s="1"/>
  <c r="D13" i="3" s="1"/>
  <c r="D21" i="8"/>
  <c r="D22" i="8"/>
  <c r="F17" i="18" l="1"/>
  <c r="F18" i="18"/>
  <c r="E12" i="2"/>
  <c r="E18" i="2"/>
  <c r="B12" i="2"/>
  <c r="B18" i="2" s="1"/>
  <c r="B13" i="2"/>
  <c r="B19" i="2" s="1"/>
  <c r="C18" i="2"/>
  <c r="C13" i="2"/>
  <c r="C19" i="2" s="1"/>
  <c r="E13" i="2"/>
  <c r="E19" i="2" s="1"/>
  <c r="D18" i="3"/>
  <c r="D21" i="3" s="1"/>
  <c r="D16" i="3"/>
  <c r="D12" i="2"/>
  <c r="D18" i="2"/>
  <c r="D13" i="2"/>
  <c r="D19" i="2" s="1"/>
  <c r="C12" i="3"/>
  <c r="C13" i="3" s="1"/>
  <c r="G12" i="3"/>
  <c r="G13" i="3" s="1"/>
  <c r="F12" i="3"/>
  <c r="F13" i="3" s="1"/>
  <c r="E12" i="3"/>
  <c r="E13" i="3" s="1"/>
  <c r="F18" i="3" l="1"/>
  <c r="F21" i="3" s="1"/>
  <c r="F16" i="3"/>
  <c r="G18" i="3"/>
  <c r="G21" i="3" s="1"/>
  <c r="G16" i="3"/>
  <c r="C18" i="3"/>
  <c r="C21" i="3" s="1"/>
  <c r="C16" i="3"/>
  <c r="E18" i="3"/>
  <c r="E21" i="3" s="1"/>
  <c r="E16" i="3"/>
  <c r="F35" i="16" l="1"/>
  <c r="I37" i="16"/>
  <c r="J38" i="16"/>
  <c r="F38" i="16"/>
  <c r="G38" i="16"/>
  <c r="C27" i="16"/>
  <c r="B27" i="16"/>
  <c r="C22" i="16"/>
  <c r="B22" i="16"/>
  <c r="E37" i="16"/>
  <c r="B8" i="16"/>
  <c r="E36" i="16" l="1"/>
  <c r="F37" i="16"/>
  <c r="E38" i="16"/>
  <c r="G35" i="16"/>
  <c r="G37" i="16"/>
  <c r="F36" i="16"/>
  <c r="H37" i="16"/>
  <c r="H35" i="16"/>
  <c r="H38" i="16"/>
  <c r="H36" i="16"/>
  <c r="D37" i="16"/>
  <c r="D35" i="16"/>
  <c r="D38" i="16"/>
  <c r="D36" i="16"/>
  <c r="C38" i="16"/>
  <c r="C36" i="16"/>
  <c r="C37" i="16"/>
  <c r="C35" i="16"/>
  <c r="J35" i="16"/>
  <c r="J37" i="16"/>
  <c r="I36" i="16"/>
  <c r="I38" i="16"/>
  <c r="J36" i="16"/>
  <c r="E35" i="16"/>
  <c r="I35" i="16"/>
  <c r="G36" i="16"/>
  <c r="B13" i="16" l="1"/>
  <c r="B14" i="16"/>
  <c r="K38" i="16" l="1"/>
  <c r="K36" i="16"/>
  <c r="K37" i="16"/>
  <c r="K35" i="16"/>
  <c r="B38" i="16"/>
  <c r="B36" i="16"/>
  <c r="B35" i="16"/>
  <c r="B37" i="16"/>
  <c r="G47" i="15" l="1"/>
  <c r="D50" i="15"/>
  <c r="B6" i="14"/>
  <c r="B13" i="15"/>
  <c r="D13" i="15" s="1"/>
  <c r="B16" i="15"/>
  <c r="D16" i="15" s="1"/>
  <c r="C50" i="15"/>
  <c r="C49" i="15"/>
  <c r="C48" i="15"/>
  <c r="C47" i="15"/>
  <c r="C46" i="15"/>
  <c r="C48" i="14" l="1"/>
  <c r="C46" i="14"/>
  <c r="C49" i="14"/>
  <c r="C47" i="14"/>
  <c r="C50" i="14"/>
  <c r="G46" i="15"/>
  <c r="H46" i="15" s="1"/>
  <c r="H47" i="15"/>
  <c r="B14" i="14"/>
  <c r="D14" i="14" s="1"/>
  <c r="B18" i="14"/>
  <c r="D18" i="14" s="1"/>
  <c r="B17" i="15"/>
  <c r="D17" i="15" s="1"/>
  <c r="F7" i="6"/>
  <c r="B7" i="6"/>
  <c r="E7" i="6"/>
  <c r="C7" i="6"/>
  <c r="D7" i="6"/>
  <c r="B15" i="14"/>
  <c r="D15" i="14" s="1"/>
  <c r="B14" i="15"/>
  <c r="D14" i="15" s="1"/>
  <c r="B18" i="15"/>
  <c r="D18" i="15" s="1"/>
  <c r="D9" i="4"/>
  <c r="D8" i="4"/>
  <c r="C8" i="4"/>
  <c r="E9" i="4"/>
  <c r="E8" i="4"/>
  <c r="M8" i="4" s="1"/>
  <c r="B9" i="4"/>
  <c r="B8" i="4"/>
  <c r="C9" i="4"/>
  <c r="C4" i="6"/>
  <c r="B4" i="6"/>
  <c r="E4" i="6"/>
  <c r="F4" i="6"/>
  <c r="D4" i="6"/>
  <c r="B16" i="14"/>
  <c r="D16" i="14" s="1"/>
  <c r="B15" i="15"/>
  <c r="D15" i="15" s="1"/>
  <c r="B13" i="14"/>
  <c r="D13" i="14" s="1"/>
  <c r="B17" i="14"/>
  <c r="D17" i="14" s="1"/>
  <c r="G48" i="15"/>
  <c r="H48" i="15" s="1"/>
  <c r="G49" i="15"/>
  <c r="H49" i="15" s="1"/>
  <c r="G50" i="15"/>
  <c r="H50" i="15" s="1"/>
  <c r="D46" i="15"/>
  <c r="D47" i="15"/>
  <c r="D48" i="15"/>
  <c r="D49" i="15"/>
  <c r="F8" i="4" l="1"/>
  <c r="J8" i="4"/>
  <c r="K8" i="4"/>
  <c r="F9" i="4"/>
  <c r="L8" i="4"/>
  <c r="G8" i="4" l="1"/>
  <c r="C3" i="13"/>
  <c r="E3" i="12"/>
  <c r="E7" i="12" s="1"/>
  <c r="C3" i="12"/>
  <c r="C7" i="12" s="1"/>
  <c r="C43" i="11"/>
  <c r="D3" i="13" s="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4" i="13" s="1"/>
  <c r="C17" i="11"/>
  <c r="C16" i="11"/>
  <c r="C15" i="11"/>
  <c r="D3" i="12" s="1"/>
  <c r="D7" i="12" s="1"/>
  <c r="C14" i="11"/>
  <c r="C13" i="11"/>
  <c r="C12" i="11"/>
  <c r="C11" i="11"/>
  <c r="C10" i="11"/>
  <c r="C9" i="11"/>
  <c r="C8" i="11"/>
  <c r="F3" i="12" s="1"/>
  <c r="F7" i="12" s="1"/>
  <c r="C7" i="11"/>
  <c r="C6" i="11"/>
  <c r="C5" i="11"/>
  <c r="C4" i="11"/>
  <c r="B3" i="12" l="1"/>
  <c r="B7" i="12" s="1"/>
  <c r="D4" i="13"/>
  <c r="B3" i="13"/>
  <c r="B4" i="13" l="1"/>
  <c r="B7" i="13"/>
  <c r="E9" i="7" l="1"/>
  <c r="E8" i="7"/>
  <c r="E7" i="7"/>
  <c r="E6" i="7"/>
  <c r="E5" i="7"/>
  <c r="E4" i="7"/>
  <c r="D3" i="7"/>
  <c r="E3" i="7" s="1"/>
  <c r="G6" i="6"/>
  <c r="G5" i="6"/>
  <c r="D9" i="5"/>
  <c r="D10" i="5" s="1"/>
  <c r="D18" i="5" s="1"/>
  <c r="C9" i="5"/>
  <c r="C10" i="5" s="1"/>
  <c r="C18" i="5" s="1"/>
  <c r="B9" i="5"/>
  <c r="B18" i="5" s="1"/>
  <c r="E6" i="4"/>
  <c r="E7" i="4" s="1"/>
  <c r="D6" i="4"/>
  <c r="D7" i="4" s="1"/>
  <c r="C6" i="4"/>
  <c r="C7" i="4" s="1"/>
  <c r="B6" i="4"/>
  <c r="B7" i="4" s="1"/>
  <c r="E4" i="4"/>
  <c r="D4" i="4"/>
  <c r="C4" i="4"/>
  <c r="B4" i="4"/>
  <c r="E5" i="3"/>
  <c r="E4" i="3"/>
  <c r="G16" i="2"/>
  <c r="F16" i="2"/>
  <c r="G23" i="3" l="1"/>
  <c r="C23" i="3"/>
  <c r="D23" i="3"/>
  <c r="E23" i="3"/>
  <c r="F23" i="3"/>
  <c r="E18" i="5"/>
  <c r="B12" i="15"/>
  <c r="D12" i="15" s="1"/>
  <c r="B7" i="15"/>
  <c r="B9" i="14"/>
  <c r="B11" i="15"/>
  <c r="D11" i="15" s="1"/>
  <c r="B8" i="14"/>
  <c r="B9" i="15"/>
  <c r="B12" i="14"/>
  <c r="D12" i="14" s="1"/>
  <c r="B7" i="14"/>
  <c r="B8" i="15"/>
  <c r="B11" i="14"/>
  <c r="D11" i="14" s="1"/>
  <c r="F10" i="6"/>
  <c r="G7" i="6"/>
  <c r="G4" i="6"/>
  <c r="D10" i="6"/>
  <c r="E10" i="6"/>
  <c r="C10" i="6"/>
  <c r="C17" i="5"/>
  <c r="E15" i="3"/>
  <c r="E20" i="3" s="1"/>
  <c r="F15" i="3"/>
  <c r="F20" i="3" s="1"/>
  <c r="C15" i="3"/>
  <c r="C20" i="3" s="1"/>
  <c r="D15" i="3"/>
  <c r="D20" i="3" s="1"/>
  <c r="G15" i="3"/>
  <c r="G20" i="3" s="1"/>
  <c r="B5" i="4"/>
  <c r="C5" i="4"/>
  <c r="D5" i="4"/>
  <c r="G8" i="2"/>
  <c r="F12" i="2"/>
  <c r="G9" i="2"/>
  <c r="E5" i="4"/>
  <c r="F13" i="2"/>
  <c r="F9" i="2"/>
  <c r="H9" i="2"/>
  <c r="H8" i="2"/>
  <c r="F8" i="2"/>
  <c r="J50" i="15" l="1"/>
  <c r="J49" i="15"/>
  <c r="J46" i="15"/>
  <c r="J47" i="15"/>
  <c r="J48" i="15"/>
  <c r="I50" i="14"/>
  <c r="I46" i="14"/>
  <c r="I48" i="14"/>
  <c r="I47" i="14"/>
  <c r="I49" i="14"/>
  <c r="D19" i="15"/>
  <c r="D25" i="3"/>
  <c r="C25" i="3"/>
  <c r="E25" i="3"/>
  <c r="F25" i="3"/>
  <c r="G25" i="3"/>
  <c r="D19" i="14"/>
  <c r="D52" i="14" s="1"/>
  <c r="E52" i="14" s="1"/>
  <c r="H52" i="14" s="1"/>
  <c r="B17" i="5"/>
  <c r="F10" i="2"/>
  <c r="G9" i="6"/>
  <c r="G10" i="6"/>
  <c r="H13" i="2"/>
  <c r="D17" i="5"/>
  <c r="G10" i="2"/>
  <c r="F14" i="2"/>
  <c r="F18" i="2"/>
  <c r="E11" i="4"/>
  <c r="H12" i="2"/>
  <c r="G18" i="2"/>
  <c r="G19" i="2"/>
  <c r="G12" i="2"/>
  <c r="G13" i="2"/>
  <c r="H19" i="2"/>
  <c r="F19" i="2"/>
  <c r="H10" i="2"/>
  <c r="D49" i="14" l="1"/>
  <c r="E49" i="14" s="1"/>
  <c r="H49" i="14" s="1"/>
  <c r="D47" i="14"/>
  <c r="E47" i="14" s="1"/>
  <c r="H47" i="14" s="1"/>
  <c r="D50" i="14"/>
  <c r="E50" i="14" s="1"/>
  <c r="H50" i="14" s="1"/>
  <c r="D48" i="14"/>
  <c r="E48" i="14" s="1"/>
  <c r="H48" i="14" s="1"/>
  <c r="D46" i="14"/>
  <c r="E46" i="14" s="1"/>
  <c r="H46" i="14" s="1"/>
  <c r="E48" i="15"/>
  <c r="F48" i="15" s="1"/>
  <c r="I48" i="15" s="1"/>
  <c r="E46" i="15"/>
  <c r="F46" i="15" s="1"/>
  <c r="I46" i="15" s="1"/>
  <c r="E50" i="15"/>
  <c r="F50" i="15" s="1"/>
  <c r="I50" i="15" s="1"/>
  <c r="E49" i="15"/>
  <c r="F49" i="15" s="1"/>
  <c r="I49" i="15" s="1"/>
  <c r="E47" i="15"/>
  <c r="F47" i="15" s="1"/>
  <c r="I47" i="15" s="1"/>
  <c r="H14" i="2"/>
  <c r="H18" i="2"/>
  <c r="B11" i="4"/>
  <c r="D11" i="4"/>
  <c r="C11" i="4"/>
  <c r="G14" i="2"/>
  <c r="F11" i="4" l="1"/>
  <c r="B12" i="3" l="1"/>
  <c r="B13" i="3" s="1"/>
  <c r="B18" i="3" l="1"/>
  <c r="B15" i="3"/>
  <c r="B20" i="3" s="1"/>
  <c r="B21" i="3" l="1"/>
  <c r="B16" i="3"/>
  <c r="H20" i="3"/>
  <c r="H25" i="3" s="1"/>
  <c r="B25" i="3"/>
  <c r="B23" i="3"/>
  <c r="H24" i="3"/>
  <c r="H18" i="3"/>
  <c r="H23" i="3" s="1"/>
</calcChain>
</file>

<file path=xl/sharedStrings.xml><?xml version="1.0" encoding="utf-8"?>
<sst xmlns="http://schemas.openxmlformats.org/spreadsheetml/2006/main" count="959" uniqueCount="434">
  <si>
    <t>$/ac/yr</t>
  </si>
  <si>
    <t>AVG</t>
  </si>
  <si>
    <t>NY</t>
  </si>
  <si>
    <t>VA</t>
  </si>
  <si>
    <t>PA</t>
  </si>
  <si>
    <t>WV</t>
  </si>
  <si>
    <t>DE</t>
  </si>
  <si>
    <t>MD</t>
  </si>
  <si>
    <t>$/ft/yr</t>
  </si>
  <si>
    <t>Average annual cost of maintaing each converted foot of shoreline (assumed to be 5% of capital cost)</t>
  </si>
  <si>
    <t>Design and construction cost per implemented foot of converted shoreline</t>
  </si>
  <si>
    <t>$/ft</t>
  </si>
  <si>
    <t>ShoreAgNoVeg</t>
  </si>
  <si>
    <t>ShoreAgVeg</t>
  </si>
  <si>
    <t>Average annual cost of maintaing each converted acre of shoreline (assumed to be 5% of capital cost)</t>
  </si>
  <si>
    <t>Design and construction cost per implemented acre of converted shoreline</t>
  </si>
  <si>
    <t>$/ac</t>
  </si>
  <si>
    <t>Average annual cost per acre to maintain wetland</t>
  </si>
  <si>
    <t>Design and construction cost per implemented acre of wetland</t>
  </si>
  <si>
    <t>WetlandRehabilitation</t>
  </si>
  <si>
    <t>OpportunityHelp</t>
  </si>
  <si>
    <t>OpportunityUnit</t>
  </si>
  <si>
    <t>OpportunityCost</t>
  </si>
  <si>
    <t>OandMHelp</t>
  </si>
  <si>
    <t>OandMUnit</t>
  </si>
  <si>
    <t>OandMCost</t>
  </si>
  <si>
    <t>CapitalHelp</t>
  </si>
  <si>
    <t>CapitalUnit</t>
  </si>
  <si>
    <t>CapitalCost</t>
  </si>
  <si>
    <t>LifespanYears</t>
  </si>
  <si>
    <t>Bmp</t>
  </si>
  <si>
    <t>State</t>
  </si>
  <si>
    <t>Priority #</t>
  </si>
  <si>
    <t>ShoreUrbNoVeg</t>
  </si>
  <si>
    <t>ShoreUrbVeg</t>
  </si>
  <si>
    <t>ShoreAg</t>
  </si>
  <si>
    <t>ShoreUrb</t>
  </si>
  <si>
    <t xml:space="preserve">Urban Shoreline Management </t>
  </si>
  <si>
    <t xml:space="preserve">Component </t>
  </si>
  <si>
    <t>Nonstructural**</t>
  </si>
  <si>
    <t>Hybrid***</t>
  </si>
  <si>
    <t>Breakwaters (offshore)</t>
  </si>
  <si>
    <t>Structural (revetment)</t>
  </si>
  <si>
    <t>Vegetated</t>
  </si>
  <si>
    <t>Non-Vegetated</t>
  </si>
  <si>
    <t>Average Costs</t>
  </si>
  <si>
    <t>Construction cost ($/Lft) [1]</t>
  </si>
  <si>
    <t>High</t>
  </si>
  <si>
    <t>Low</t>
  </si>
  <si>
    <t>Average</t>
  </si>
  <si>
    <t xml:space="preserve">O&amp;M cost ($/Lft/yr) </t>
  </si>
  <si>
    <t>Annualization period/Useful life (years) [2]</t>
  </si>
  <si>
    <t>Total annual cost ($/Lft/yr)</t>
  </si>
  <si>
    <t>**Living shorelines: projects that include natural habitat elements only, such as vegetation, oyster reef, coarse woody debris, and sand.</t>
  </si>
  <si>
    <t>***Projects that include natural habitat elements such as vegetation, oyster reef, and sand, as well as some hard structure such as stone sills or breakwaters.</t>
  </si>
  <si>
    <t xml:space="preserve">[1] Living Shorelines for the Chesapeake Bay Watershed. 2007. http://www.cbf.org/Document.Doc?id=60
    Rivers &amp; Coast: Newsletter of the Center for Coastal Resources Management. Summer 2014, Vol. 9, No. 2. </t>
  </si>
  <si>
    <t>[2] Recommendations of the Expert Panel to Define Removal Rates for Shoreline Management Projects. 2015. Chesapeake Bay Partnership.</t>
  </si>
  <si>
    <t>Note: Operation and Maintenance rates were concluded from inferences from the Expert Panel review.</t>
  </si>
  <si>
    <t>Urban Shoreline Control Non-vegetated</t>
  </si>
  <si>
    <t>Practices without a vegetated area along urban-dominated tidal shorelines that prevent and/or reduces tidal sediments to the Bay. Shoreline practices can include living shorelines, revetments and/or breakwater systems and bulkheads and seawalls. Input units of feet and acres. If only feet are known, use the Shoreline Management BMP that does not specify vegetative conditions.</t>
  </si>
  <si>
    <t>Urban Shoreline Control Vegetated</t>
  </si>
  <si>
    <t>Practices with a vegetated area along urban-dominated tidal shorelines that prevent and/or reduces tidal sediments to the Bay. Shoreline practices can include living shorelines, revetments and/or breakwater systems and bulkheads and seawalls.   Input units of feet and acres. If only feet are known, use the Shoreline Management BMP that does not specify vegetative conditions.</t>
  </si>
  <si>
    <t>Definition: Practices with a vegetated area along agriculturally-dominated tidal shorelines that prevent and/or reduces tidal sediments to the Bay. Shoreline practices can include living shorelines, revetments and/or breakwater systems and bulkheads and seawalls.  Input units of feet and acres. If only feet are known, use the Shoreline Management BMP that does not specify vegetative conditions.</t>
  </si>
  <si>
    <t>Component</t>
  </si>
  <si>
    <t>PA 2017 [1]</t>
  </si>
  <si>
    <t>VA 2016 [2]</t>
  </si>
  <si>
    <t>DE 2017 [3]</t>
  </si>
  <si>
    <t>MD 2017 EQIP [4]</t>
  </si>
  <si>
    <t>NY 2017[5]</t>
  </si>
  <si>
    <t>WV 2017[6]</t>
  </si>
  <si>
    <t>Stream Bank and Shoreline Protection -- Vegetative ($/SqFt)</t>
  </si>
  <si>
    <t>Bioengineered ($/SqFt)</t>
  </si>
  <si>
    <t>Bioengineered with Toe Protection ($/SqFt)</t>
  </si>
  <si>
    <t>Bioengineered using shaping and non-woody vegetation ($/SqFt)</t>
  </si>
  <si>
    <t>Bioengineered using shaping and woody vegetation (willows assumed as typical) ($/SqFt)</t>
  </si>
  <si>
    <t>Bioengeneered living shoreline stabilization with shaping, coir logs and tidal plugs ($/SqFt)</t>
  </si>
  <si>
    <t>Bioengineered using shaping, riprap at toe of slope and vegetation on the embankment ($/SqFt)</t>
  </si>
  <si>
    <t>Bioengineering using shaping, grading, and native trees and shrubs ($/SqFt)</t>
  </si>
  <si>
    <t>Average Practice Cost ($2010/SqFt)</t>
  </si>
  <si>
    <t xml:space="preserve"> Lifespan (year) [2] [4]</t>
  </si>
  <si>
    <t>Total Annualized Cost (2010$/ac/yr)</t>
  </si>
  <si>
    <t>Assumptions</t>
  </si>
  <si>
    <t>EQIP cost shares were divided by .75 to estimate the total cost</t>
  </si>
  <si>
    <t>O&amp;M ciost is assumed to be 5% of capital cost</t>
  </si>
  <si>
    <t>References</t>
  </si>
  <si>
    <t>1.  2017 PA NRCS Streambank and Shoreline Protection Scenarios https://efotg.sc.egov.usda.gov/references/public/PA/CostScenario580-StreambankandShorelineProtection.pdf</t>
  </si>
  <si>
    <t>2. 2016 VA NRCS Statewide Average Cost List https://efotg.sc.egov.usda.gov/references/public/VA/NRCSState-wideAverageCostListforFY201610.14.15.pdf</t>
  </si>
  <si>
    <t>3. 2017 DE NRCS Payment Schedule/ Scenarios https://efotg.sc.egov.usda.gov/references/public/DE/DE_2017_Payment_Schedule.pdf</t>
  </si>
  <si>
    <t>4. 2017 MD EQIP Payment Schedule  https://efotg.sc.egov.usda.gov/references/public/MW/MD-EQIP-2016_FINAL_1-6-16_-_FOR_POSTING.pdf</t>
  </si>
  <si>
    <t>5. 2017 NY NRCS Streambank and Shoreline Protection Scenarios https://efotg.sc.egov.usda.gov/references/public/NY/NY_2017_Streambank_and_Shoreline_Protection.pdf</t>
  </si>
  <si>
    <t>6. 2017 WV NRCS Eqip Practice List https://www.nrcs.usda.gov/wps/portal/nrcs/detailfull/wv/programs/financial/eqip/?cid=stelprdb1193844</t>
  </si>
  <si>
    <t>Definition: Practices without a vegetated area along agriculturally-dominated tidal shorelines that prevent and/or reduces tidal sediments to the Bay. Shoreline practices can include living shorelines, revetments and/or breakwater systems and bulkheads and seawalls.  Input units of feet and acres. If only feet are known, use the Shoreline Management BMP that does not specify vegetative conditions.</t>
  </si>
  <si>
    <t>DE 2017 [2]</t>
  </si>
  <si>
    <t>MD 2017 EQIP [3]</t>
  </si>
  <si>
    <t>NY 2017 [4]</t>
  </si>
  <si>
    <t>Structural, &gt;5 ft bank ($/ac)</t>
  </si>
  <si>
    <t>Structural, &gt;5 ft bank ($/ft)</t>
  </si>
  <si>
    <t>Structural small, banks less than 4 ft ($/ac)</t>
  </si>
  <si>
    <t>Structural small, banks less than 4 ft ($/ft)</t>
  </si>
  <si>
    <t>Lifespan (year) [2] [4]</t>
  </si>
  <si>
    <t>Costs were taken from state level NRCS practice scenarios.  The costs include equipment, installation, labor, materials, and mobilization of the equipment</t>
  </si>
  <si>
    <t>NRCS scenarios, used to determine cost, were given in $/CuYd.  The cost was converted to $/ac using acreage in several itemeized costs in the BMP practice.  MD's practice scenerio didn't give itemized costs with acreage, and we used Deleware's practice scenario to determine a CuYd conversion factor</t>
  </si>
  <si>
    <t>2. 2017 DE NRCS Payment Schedule/ Scenarios https://efotg.sc.egov.usda.gov/references/public/DE/DE_2017_Payment_Schedule.pdf</t>
  </si>
  <si>
    <t>3. 2017 MD EQIP Payment Schedule  https://efotg.sc.egov.usda.gov/references/public/MW/MD-EQIP-2016_FINAL_1-6-16_-_FOR_POSTING.pdf</t>
  </si>
  <si>
    <t>4. 2017 NY NRCS Streambank and Shoreline Protection Scenarios https://efotg.sc.egov.usda.gov/references/public/NY/NY_2017_Streambank_and_Shoreline_Protection.pdf</t>
  </si>
  <si>
    <t xml:space="preserve">Definition: Stream restoration is a change to the stream corridor that improves the stream ecosystem by restoring the natural hydrology and landscape of a stream, and helps improve habitat and water quality conditions in degraded streams. Use this BMP if the specific project design is not known. Feet must be specified. </t>
  </si>
  <si>
    <t>Urban Stream Restoration</t>
  </si>
  <si>
    <t>Middle</t>
  </si>
  <si>
    <t>Pre-Construction and Design Costs ($/Lft) [1]</t>
  </si>
  <si>
    <t>Construction Costs ($/Lft) [1]</t>
  </si>
  <si>
    <t>Annual Routine Maintenance [3]</t>
  </si>
  <si>
    <t>Total O&amp;M ($/Lft/yr)</t>
  </si>
  <si>
    <t>Useful Life (years) [3]</t>
  </si>
  <si>
    <t>**can range from 3 to 15 years depending on the type of construction</t>
  </si>
  <si>
    <t xml:space="preserve">Total Annual Cost ($/Lft/yr) </t>
  </si>
  <si>
    <t>Total Capital Cost ($/Lft)</t>
  </si>
  <si>
    <t>Total O&amp;M Cost ($/Lft/yr)</t>
  </si>
  <si>
    <t>[1] The Virginia Stream Restoration &amp; Stabilization Best Management Practices Guide. 2004. Virginia Department of Conservation &amp; Recreation. Urban Stream Restoration, U-4 Fact Sheet. Accessible electronically from: http://chesapeakestormwater.net/bmp-resources/urban-stream-restoration/</t>
  </si>
  <si>
    <t>[2] Recommendations of the Expert Panel to Define Removal Rates for Individual Stream Restoration Projects. 2014. Accessible electronically from: http://chesapeakestormwater.net/bmp-resources/urban-stream-restoration/</t>
  </si>
  <si>
    <t>[3] The Virginia Stream Restoration &amp; Stabilization Best Management Practices Guide. 2004. VA Department of Conservation and Recreation. Accessible electronically from: http://www.deq.virginia.gov/Portals/0/DEQ/Water/Publications/BMPGuide.pdf</t>
  </si>
  <si>
    <t>Note: Cost from the following reports fell between the range of construction costs per foot:</t>
  </si>
  <si>
    <t>Brown, K. B. 2000. Urban stream restoration practices: an initial assessment. Center for Watershed Protection, Ellicott City, Maryland. (Available from: http://www.cwp.org/pubs_download.htm)</t>
  </si>
  <si>
    <t>Sundermann, A., Stoll, S. and Haase, P. 2011. River restoration success depends on the species pool of the immediate surroundings. Ecological Applications, 21: 1962–1971. doi:10.1890/10-0607.1</t>
  </si>
  <si>
    <t>Verbal communication with Tom Schueler. February 2017.</t>
  </si>
  <si>
    <t>Non Urban Stream Restoration</t>
  </si>
  <si>
    <t>Non Urban Stream Restoration Protocol</t>
  </si>
  <si>
    <t>Urban Stream Restoration Protocol</t>
  </si>
  <si>
    <t>VA 2016  [2]</t>
  </si>
  <si>
    <t>MD 2010 [3]</t>
  </si>
  <si>
    <t>DE 2017[5]</t>
  </si>
  <si>
    <t>PA 2017 [6]</t>
  </si>
  <si>
    <t>Annualization period</t>
  </si>
  <si>
    <t>O&amp;M cost ($2005/ac/yr) [7]</t>
  </si>
  <si>
    <t xml:space="preserve">Opportunity cost ($/ac/yr) </t>
  </si>
  <si>
    <t>Annualized  cost ($/ac/yr)</t>
  </si>
  <si>
    <t>1. Minnesota Wetland Restoration Guide: Restoration Strategies http://bwsr.state.mn.us/restoration/resources/documents/appendix-3a.pdf</t>
  </si>
  <si>
    <t>2 USDA/NRCS/VA FY16 State-wide Average Cost (typical average cost to install conservation practices and associated average annual costs) for Conservation Practices used in Virginia</t>
  </si>
  <si>
    <t>3 MD NRCS Practice Catalog https://efotg.sc.egov.usda.gov/references/public/MW/2010_MD_Practice_Catalog.pdf</t>
  </si>
  <si>
    <t>4 NY NRCS Wetland Restoration Practice Scenario https://efotg.sc.egov.usda.gov/references/public/NY/NY_2017_Wetland_Restoration.pdf</t>
  </si>
  <si>
    <t>5 DE NRCS Wetland Restoration Practice Scenario https://efotg.sc.egov.usda.gov/references/public/DE/DE_2017_Payment_Schedule.pdf</t>
  </si>
  <si>
    <t>6  PA NRCS Wetland Restoration Practice Scenario https://efotg.sc.egov.usda.gov/references/public/PA/CostScenario657-WetlandRestoration.pdf</t>
  </si>
  <si>
    <t>7  Terance Rephann 2010.  Economic Impacts of Implementing Agricultural Best Management Practicesto Achieve Goals Outlined in Virginia'sTributary Strategy</t>
  </si>
  <si>
    <t xml:space="preserve">Assumptions: </t>
  </si>
  <si>
    <t>All costs for this wetland rehabilitation BMP are assumed to be the same as for the wetland restoration (headwaters) BMP</t>
  </si>
  <si>
    <t>Wetland is restored by Depression Sediment Removal with or without Ditch Plugs (ref)</t>
  </si>
  <si>
    <t>Levee removal is not required</t>
  </si>
  <si>
    <t>The oppurtunity cost for NY is an average of the other four states.  An annual rental rate for the state of NY was not avaliable</t>
  </si>
  <si>
    <t>Average Annual Rental Rates (2018$/AC) for Agricultural Land (NASS, 2019)</t>
  </si>
  <si>
    <t>Cropland</t>
  </si>
  <si>
    <t>Pasture</t>
  </si>
  <si>
    <t>Difference</t>
  </si>
  <si>
    <t>DELAWARE</t>
  </si>
  <si>
    <t>MARYLAND</t>
  </si>
  <si>
    <t>NEW YORK</t>
  </si>
  <si>
    <t>PENNSYLVANIA</t>
  </si>
  <si>
    <t>VIRGINIA</t>
  </si>
  <si>
    <t>WEST VIRGINIA</t>
  </si>
  <si>
    <t>Watershed</t>
  </si>
  <si>
    <t>Delaware pasture rental rate set equal to average of other states, due to lack of data for Delaware counties</t>
  </si>
  <si>
    <t>Factor for 2010</t>
  </si>
  <si>
    <t>Index base 2011</t>
  </si>
  <si>
    <t>Year</t>
  </si>
  <si>
    <t>USDA ERS Ag Services, Index for Prices Paid (https://quickstats.nass.usda.gov/results/CFE532DB-A63D-340D-878B-52FC768B31FC?pivot=short_desc     accessed 01/20/20</t>
  </si>
  <si>
    <t>YEAR</t>
  </si>
  <si>
    <t>AVG.</t>
  </si>
  <si>
    <t>https://www.enr.com/economics/historical_indices/construction_cost_index_history</t>
  </si>
  <si>
    <t xml:space="preserve"> Stream Restoration</t>
  </si>
  <si>
    <t>[4] Pre-construction cost is assumed to be 20% of construction costs</t>
  </si>
  <si>
    <t>Definition: Rehabilitate wetlands by manipulation of the physical, chemical, or biological characteristics of a site with the goal of returning natural/historic functions to a degraded wetland. Provides a load reduction to the acres draining to the wetland. Enter unit of total acres or percent of acres rehabilitated.</t>
  </si>
  <si>
    <t>Annualization rate</t>
  </si>
  <si>
    <t>Definition: Forest harvesting practices are a suite of BMPs that minimize the environmental impacts of road building, log removal, site preparation and forest management.  These practices help reduce suspended sediments and associated nutrients that can result from forest operations.  Enter units of acres or percent.</t>
  </si>
  <si>
    <t>PADEP (2004) [1]</t>
  </si>
  <si>
    <t>Weiland (2009) [2][5]</t>
  </si>
  <si>
    <t>Schaffer et al. (1998)</t>
  </si>
  <si>
    <t>Kelly et al. (2016) [3]</t>
  </si>
  <si>
    <t>Capital Unit Costs ($/HARVESTED acre)</t>
  </si>
  <si>
    <t>O&amp;M Unit Costs ($2018/acre/yr)</t>
  </si>
  <si>
    <t>NA</t>
  </si>
  <si>
    <t>Life of Practice (Years)</t>
  </si>
  <si>
    <t>Total Annual Cost ($/HARVESTED ac/yr)</t>
  </si>
  <si>
    <t>1. All costs escalsted to 2018 using Construction Cost Index</t>
  </si>
  <si>
    <t>2. Weiland (2009) uses average of coastal and noncoastal plain unit costs, based on Aust, et al. (1996) estimate that forest harvest BMPs cost $12.40/A on the coastal plain and $38.00/A in the piedmont of Virginia.</t>
  </si>
  <si>
    <t>References:</t>
  </si>
  <si>
    <t>[1] Pennsylvania Department of Environmental Protection (PADEP). 2004. Pennsylvania's Chesapeake Bay Tributary Strategy. December 2004.</t>
  </si>
  <si>
    <t>[2] Weiland, R., D. Parker, W. Gans, and A. Martin. 2009. Costs and Cost Efficiencies for Some Nutrient Reduction Practices in Maryland. Prepared for National Oceanic and Atmospheric Adminstration, Chesapeake Bay Program Office, and Maryland Department of Natural Resources.</t>
  </si>
  <si>
    <t>[3] Shaffer, R.M., Haney, H.L., Worrell, E.G. and Aust, W.M., 1998. Forestry BMP implementation costs for Virginia. Forest Products Journal, Vol. 48, No. 9 Sept. 1998.</t>
  </si>
  <si>
    <t>[4] Kelly, M.C., Germain, R.H. and Bick, S., 2017. Impacts of forestry best management practices on logging costs and productivity in the Northeastern USA. Journal of Forestry, 115(6), pp.503-512.</t>
  </si>
  <si>
    <t>[5]  Aust, W.M., Shaffer, R.M. and Burger, J.A., 1996. Benefits and costs of forestry best management practices in Virginia. Southern Journal of Applied Forestry, 20(1), pp.23-29.</t>
  </si>
  <si>
    <t>Definition:  Abandoned mine reclamation stabilizes the soil on lands mined for coal or affected by mining, such as wastebanks, coal processing, or other coal mining processes. Enter unit of acre or percent.</t>
  </si>
  <si>
    <t>USDOI [2]</t>
  </si>
  <si>
    <t>Abandoned Mine Reclamation - capital ($2018/acre)</t>
  </si>
  <si>
    <t>Abandoned Mine Reclamation - O&amp;M ($/acre/yr)</t>
  </si>
  <si>
    <t>Useful Life</t>
  </si>
  <si>
    <t>Total Annual Cost ($/acre/year) [2]</t>
  </si>
  <si>
    <t>1. Costs escalated to 2018 dollars using Construction Cost Index (see Assumptions Tab)</t>
  </si>
  <si>
    <t>2. Capital costs annualized at percentage indicated on Assumptions sheet over 20 years plus O&amp;M.</t>
  </si>
  <si>
    <t>3. assumes O&amp;M cost rate (%) from PADEP (2004) applies to USDOI esimates</t>
  </si>
  <si>
    <t>[2] US Department of the Interior (USDOI). Bureau of Mines. 1979. Abaondoned Coal-Mined Lands: Nature, Extent, and Cost of Reclamation</t>
  </si>
  <si>
    <t>Forest Harvesting</t>
  </si>
  <si>
    <t>Avg Capital cost per HARVESTED acre</t>
  </si>
  <si>
    <t>N/A</t>
  </si>
  <si>
    <t>Average O&amp;M cost per acre per year</t>
  </si>
  <si>
    <t>Abandoned Mine Reclamation</t>
  </si>
  <si>
    <t>Avg Capital cost per acre</t>
  </si>
  <si>
    <t>DiploidOysters2.25</t>
  </si>
  <si>
    <t>$/oyster harvested</t>
  </si>
  <si>
    <t>Average (per oyster) one-time costs to produce a diploid oyster that will be harvested in 2.25 years, minus the sales price per oyster.</t>
  </si>
  <si>
    <t>$/yr/oyster harvested</t>
  </si>
  <si>
    <t>average annual labor costs per oyster harvested in 2.25 years</t>
  </si>
  <si>
    <t>DiploidOysters3</t>
  </si>
  <si>
    <t>Average (per oyster) one-time costs to produce a diploid oyster that will be harvested in 3 years, minus the sales price per oyster.</t>
  </si>
  <si>
    <t>average annual labor costs per oyster harvested in 4 years</t>
  </si>
  <si>
    <t>DiploidOysters4</t>
  </si>
  <si>
    <t>Average (per oyster) one-time costs to produce a diploid oyster that will be harvested in 4 years, minus the sales price per oyster.</t>
  </si>
  <si>
    <t>average annual labor costs per oyster harvested in5 years</t>
  </si>
  <si>
    <t>DiploidOysters5</t>
  </si>
  <si>
    <t>Average (per oyster) one-time costs to produce a diploid oyster that will be harvested in 5 years, minus the sales price per oyster.</t>
  </si>
  <si>
    <t>average annual labor costs per oyster harvested in 6 years</t>
  </si>
  <si>
    <t>DiploidOysters6</t>
  </si>
  <si>
    <t>Average (per oyster) one-time costs to produce a diploid oyster that will be harvested in 6 years, minus the sales price per oyster.</t>
  </si>
  <si>
    <t>TriploidOysters2.25</t>
  </si>
  <si>
    <t>Average (per oyster) one-time costs to produce a diploid oyster that will be harvested in1.7 years, minus the sales price per oyster.</t>
  </si>
  <si>
    <t>average annual labor costs per oyster harvested in 1.7 years</t>
  </si>
  <si>
    <t>TriploidOysters3</t>
  </si>
  <si>
    <t>Average (per oyster) one-time costs to produce a diploid oyster that will be harvested in 2.3 years, minus the sales price per oyster.</t>
  </si>
  <si>
    <t>average annual labor costs per oyster harvested in 2.3 years</t>
  </si>
  <si>
    <t>TriploidOysters4</t>
  </si>
  <si>
    <t>average annual labor costs per oyster harvested in 3 years</t>
  </si>
  <si>
    <t>TriploidOysters5</t>
  </si>
  <si>
    <t>Average (per oyster) one-time costs to produce a diploid oyster that will be harvested in 3.8 years, minus the sales price per oyster.</t>
  </si>
  <si>
    <t>average annual labor costs per oyster harvested in 3.8years</t>
  </si>
  <si>
    <t>TriploidOysters6</t>
  </si>
  <si>
    <t>Average (per oyster) one-time costs to produce a diploid oyster that will be harvested in 4.5 years, minus the sales price per oyster.</t>
  </si>
  <si>
    <t>average annual labor costs per oyster harvested in 4.5 years</t>
  </si>
  <si>
    <t>MonitoredOysters</t>
  </si>
  <si>
    <t>Average (per oyster) one-time costs to produce a diploid oyster that will be harvested in 3.5 years, minus the sales price per oyster.</t>
  </si>
  <si>
    <t>average annual labor costs per oyster harvested in 3.5 years</t>
  </si>
  <si>
    <t>Definition: Private oyster aquaculture that is on- or off-bottom using hatchery-produced oysters or on-bottom using substrate addition. Use diploid if oyster type is unknown. The location is the finishing location if moved when shell &lt; 2 inches; otherwise report the initial location. Enter units of number of oysters harvested.</t>
  </si>
  <si>
    <t>Cost (2010$)</t>
  </si>
  <si>
    <t>Expected Life</t>
  </si>
  <si>
    <t>Annualized Cost</t>
  </si>
  <si>
    <t>-</t>
  </si>
  <si>
    <t>Labor full-time (6240 hrs/yr per 1.5 million planted) [7]</t>
  </si>
  <si>
    <t>Labor part-time (3840 hrs/yr per 1.5 million planted) [7]</t>
  </si>
  <si>
    <t>Fuel  ($/year) [8]</t>
  </si>
  <si>
    <t>Vessel [8]</t>
  </si>
  <si>
    <t>Truck [8]</t>
  </si>
  <si>
    <t>Bags And Barriers  [4]</t>
  </si>
  <si>
    <t>Lines, Buoys, and anchors  [4]</t>
  </si>
  <si>
    <t>Gaff &amp; winch  [4]</t>
  </si>
  <si>
    <t>Cages  [4]</t>
  </si>
  <si>
    <t>Floating Upweller  [4]</t>
  </si>
  <si>
    <t>Shaker Table  [4]</t>
  </si>
  <si>
    <t>Total Equipment Costs</t>
  </si>
  <si>
    <t>1. Stephenson, K., Aultman, S., Metcalfe, T. and Miller, A., 2010. An evaluation of nutrient nonpoint offset trading in Virginia: A role for agricultural nonpoint sources?. Water Resources Research, 46(4).</t>
  </si>
  <si>
    <t xml:space="preserve"> </t>
  </si>
  <si>
    <t>2. Growth Rate of Oysters https://chesapeakebay.noaa.gov/fish-facts/oysters</t>
  </si>
  <si>
    <t>3. The Cultivation of American Oysters -- Southern Regional Aquacutlure Center http://aqua.ucdavis.edu/DatabaseRoot/pdf/432FS.PDF</t>
  </si>
  <si>
    <t>4. http://www.mainstreeteconomics.com/documents/Oyster_Aquaculture_Final.pdf</t>
  </si>
  <si>
    <t>[5]  Hudson, K. 2017. Virginia Shellfish Aquaculture Situation and Outlook Report, VIMS</t>
  </si>
  <si>
    <t>[6] University of Maryland, Center for Environmental Science and Oyster Recover Partnership. 2016. 2016 Oyster Seed Prices and Policies.</t>
  </si>
  <si>
    <t>[7] VIMS. 2013. Cultchless (Single-Seed) Oyster Crop Budgets for Virginia. 2013 User Manual</t>
  </si>
  <si>
    <t>[8]  Parker et al.  2013. Bottom Culture Cost Analysis.  Oyster Aquaculture Technology Series.  University of Marlyand Extension.</t>
  </si>
  <si>
    <t xml:space="preserve">1. Oysters are grown in off bottom cages </t>
  </si>
  <si>
    <t>2. Diploid Seed Oysters cost $9.5 per 1,000 in 2016 [6]</t>
  </si>
  <si>
    <t>3.  There will be 33% loss of the starting population [4]</t>
  </si>
  <si>
    <t>4. Oyster growth occurs at 1in per year [2]</t>
  </si>
  <si>
    <t>5.  These costs do not include maintenance costs except in replacement</t>
  </si>
  <si>
    <t>6.  High Labor - Low Capital scenario from [4]</t>
  </si>
  <si>
    <t>7.  Cost per VA bushel in 2016 is $46 [5] and there are 500 3-inch oysters per VA bushel (Chesapeake Bay Oyster Population Estimation, 2006, VIMS Summary Sheet)</t>
  </si>
  <si>
    <t>8. Oyster price varies in direct proportion with size (inch length)</t>
  </si>
  <si>
    <t>9.  Full-time labor rate = $11/hr; Part-time labor rate = $8/hr</t>
  </si>
  <si>
    <t>10. Time horizon is years to harvest</t>
  </si>
  <si>
    <t>Size (inches) AND Years to Harvest</t>
  </si>
  <si>
    <t>BMP Name</t>
  </si>
  <si>
    <t>Seed Costs</t>
  </si>
  <si>
    <t>Equipment Cost</t>
  </si>
  <si>
    <t>Total Cost</t>
  </si>
  <si>
    <t>Diploid Oyster Aquaculture 2.25 Inches</t>
  </si>
  <si>
    <t>Diploid Oyster Aquaculture 3.0 Inches</t>
  </si>
  <si>
    <t>Diploid Oyster Aquaculture 4.0 Inches</t>
  </si>
  <si>
    <t>Diploid Oyster Aquaculture 5.0 Inches</t>
  </si>
  <si>
    <t>Diploid Oyster Aquaculture Greater 6.0 Inches</t>
  </si>
  <si>
    <t>2. Triploid Seed Oysters cost $13.4 per 1,000 in 2016 [6]</t>
  </si>
  <si>
    <t>4. Oyster growth occurs at 1.33 in per year (33% faster than diploid [4])</t>
  </si>
  <si>
    <t>Size (Inches)</t>
  </si>
  <si>
    <t>Years to Harvest</t>
  </si>
  <si>
    <t>Triploid Oyster Aquaculture 2.25 Inches</t>
  </si>
  <si>
    <t>Triploid Oyster Aquaculture 3.0 Inches</t>
  </si>
  <si>
    <t>Triploid Oyster Aquaculture 4.0 Inches</t>
  </si>
  <si>
    <t>Triploid Oyster Aquaculture 5.0 Inches</t>
  </si>
  <si>
    <t>Triploid Oyster Aquaculture Greater 6.0 Inches</t>
  </si>
  <si>
    <t>Cost (2018$)</t>
  </si>
  <si>
    <t>1.5 Million Diploid Seed Oysters [6] (2018$)</t>
  </si>
  <si>
    <t>Factor for 2018</t>
  </si>
  <si>
    <t>Price per Oyster (2018$)[5]</t>
  </si>
  <si>
    <t>PV Capital Costs Minus PV of Revenues per Oyster Harvested (2018$)</t>
  </si>
  <si>
    <t>Annual O&amp;M cost per oyster  harvested (2018$/yr/oyster harvested)</t>
  </si>
  <si>
    <t>Present Value (PV) Capital Costs per Million Oysters (2018$)</t>
  </si>
  <si>
    <t>PV Revenue per Million Oysters (2018$)</t>
  </si>
  <si>
    <t xml:space="preserve">Definition:  Algal flow-way technologies are inclined race-ways in tidal waters that receive nutrient-laden water so natural algal assemblages can accumulate and then be harvested for an end use. </t>
  </si>
  <si>
    <t>Algal Flow-way Technologies</t>
  </si>
  <si>
    <t>Capital Cost (2003$  million) [1]</t>
  </si>
  <si>
    <t>O&amp;M Cost (2003$/yr million) [1]</t>
  </si>
  <si>
    <t>Total water treatment area (acres) [1]</t>
  </si>
  <si>
    <t>Annual BMP Cost (2010$ million/yr)</t>
  </si>
  <si>
    <t>Capital cost per acre (2010$/acre)</t>
  </si>
  <si>
    <t>O&amp;M cost per acre (2010$/acre/yr)</t>
  </si>
  <si>
    <t>Annual BMP Cost Per Treatment Acre (2010$/yr/acre)</t>
  </si>
  <si>
    <t>Annual BMP Cost Per TP Removal (2010$/yr/lb)</t>
  </si>
  <si>
    <t>Useful Life (years) [1]</t>
  </si>
  <si>
    <t>[1]  Sano, D, Hodges, A, and R. Degner. 2005. Economic Analysis of Water Treatments for Phosphorus Removal in Florida.  University of Florida, IFAS Extension, EDIS document FE576</t>
  </si>
  <si>
    <t>10 MGD x 4 acre Unit</t>
  </si>
  <si>
    <t>25 MGD x  10 acre Unit</t>
  </si>
  <si>
    <t>Capital Cost (2012$) [2]</t>
  </si>
  <si>
    <r>
      <t xml:space="preserve">O&amp;M Cost (2012$/yr million) [2] </t>
    </r>
    <r>
      <rPr>
        <vertAlign val="superscript"/>
        <sz val="11"/>
        <color theme="1"/>
        <rFont val="Calibri"/>
        <family val="2"/>
        <scheme val="minor"/>
      </rPr>
      <t>a</t>
    </r>
  </si>
  <si>
    <t>Total water treatment area (acres) [2]</t>
  </si>
  <si>
    <t>[2] HydroMentia. 2013. Present Worth Analysis for Algal Turf Scrubber® Applications in Ellerbe and Little Lick Creek Watersheds.  Presented to City of Durham Stormwater Services, September 26, 2013</t>
  </si>
  <si>
    <r>
      <rPr>
        <vertAlign val="superscript"/>
        <sz val="11"/>
        <color theme="1"/>
        <rFont val="Calibri"/>
        <family val="2"/>
        <scheme val="minor"/>
      </rPr>
      <t>a</t>
    </r>
    <r>
      <rPr>
        <sz val="11"/>
        <color theme="1"/>
        <rFont val="Calibri"/>
        <family val="2"/>
        <scheme val="minor"/>
      </rPr>
      <t xml:space="preserve"> Does not include $20,000 in monitoring costs for  regular inflow and outflow water quality </t>
    </r>
  </si>
  <si>
    <t>BMP</t>
  </si>
  <si>
    <r>
      <t>Average Annual BMP Cost Per Treatment Acre (2010$/yr/acre)</t>
    </r>
    <r>
      <rPr>
        <b/>
        <vertAlign val="superscript"/>
        <sz val="11"/>
        <color theme="1"/>
        <rFont val="Calibri"/>
        <family val="2"/>
        <scheme val="minor"/>
      </rPr>
      <t>b</t>
    </r>
  </si>
  <si>
    <t>Capital Cost per Treatment Acre (2010$/acre)</t>
  </si>
  <si>
    <t>O&amp;M Cost per Treatment Acre (2010$/acre/yr)</t>
  </si>
  <si>
    <t xml:space="preserve">Med </t>
  </si>
  <si>
    <t>Algal Flow-way Tidal</t>
  </si>
  <si>
    <t>Algal flow-way technologies are inclined race-ways in tidal waters that receive nutrient-laden water so natural algal assemblages can accumulate and then be harvested for an end use. Enter units of acres only.</t>
  </si>
  <si>
    <t>Algal Flow-way Tidal Monitored</t>
  </si>
  <si>
    <t>Algal flow-way technologies are inclined race-ways in tidal waters that receive nutrient-laden water so natural algal assemblages can accumulate and then be harvested for an end use. Inflow/outflow biomass monitoring is required. Enter units of acres and pounds of TN, TP, or TSS.</t>
  </si>
  <si>
    <t xml:space="preserve">Algal Flow-way Non-Tidal </t>
  </si>
  <si>
    <t>Algal flow-way technologies are inclined race-ways in non-tidal waters that receive nutrient-laden water so natural algal assemblages can accumulate and then be harvested for an end use. Where tidal conditions are not known, use this BMP. Enter units of acres only.</t>
  </si>
  <si>
    <t>Algal Flow-way  Non-Tidal Monitored</t>
  </si>
  <si>
    <t>Algal flow-way technologies are inclined race-ways in non-tidal waters that receive nutrient-laden water so natural algal assemblages can accumulate and then be harvested for an end use. Inflow/outflow biomass monitoring is required. Enter units of acres and pounds of TN, TP, or TSS.</t>
  </si>
  <si>
    <t>Capital Cost per Treatment Acre (2018$/acre)</t>
  </si>
  <si>
    <t>O&amp;M Cost per Treatment Acre (2018$/acre/yr)</t>
  </si>
  <si>
    <r>
      <t>Average Annual BMP Cost Per Treatment Acre (2018$/yr/acre)</t>
    </r>
    <r>
      <rPr>
        <b/>
        <vertAlign val="superscript"/>
        <sz val="11"/>
        <color rgb="FFFF0000"/>
        <rFont val="Calibri"/>
        <family val="2"/>
        <scheme val="minor"/>
      </rPr>
      <t>b</t>
    </r>
  </si>
  <si>
    <r>
      <rPr>
        <vertAlign val="superscript"/>
        <sz val="11"/>
        <color rgb="FFFF0000"/>
        <rFont val="Calibri"/>
        <family val="2"/>
        <scheme val="minor"/>
      </rPr>
      <t>b</t>
    </r>
    <r>
      <rPr>
        <sz val="11"/>
        <color rgb="FFFF0000"/>
        <rFont val="Calibri"/>
        <family val="2"/>
        <scheme val="minor"/>
      </rPr>
      <t xml:space="preserve"> Cost estimates are based on non-tidal systems , but are assumed to be the same for a tidal system.  Annual biomass monitoring costs are assumed to be minimal (personal communcation with Mark Zivojnovich, March 22, 2017)</t>
    </r>
  </si>
  <si>
    <t xml:space="preserve">Annual BMP Cost Per TP Removal </t>
  </si>
  <si>
    <t>$/lb TP/yr</t>
  </si>
  <si>
    <t>* All costs converted to 2010$ except averages in red font which are converted to 2018 dollars</t>
  </si>
  <si>
    <t>Average ($2018)</t>
  </si>
  <si>
    <t>Average Capital Cost ($2018/ac)</t>
  </si>
  <si>
    <t xml:space="preserve">O&amp;M cost ($2018/ac/yr) </t>
  </si>
  <si>
    <t>Total Annualized  cost ($2018/ac/yr)</t>
  </si>
  <si>
    <t>Average Practice Cost ($2018/ac)</t>
  </si>
  <si>
    <t>Average Practice Cost ($2018/ft)</t>
  </si>
  <si>
    <t>O&amp;M (2018$/acre)</t>
  </si>
  <si>
    <t>Total Annualized Cost ($2018/ac/yr)</t>
  </si>
  <si>
    <t>Total Annualized Cost ($2018/ft/yr)</t>
  </si>
  <si>
    <t>O&amp;M cost (2018$/acre/yr)</t>
  </si>
  <si>
    <t>Total Annualized Cost (2018$/ac/yr)</t>
  </si>
  <si>
    <t>O&amp;M cost (2018$/ft/yr)</t>
  </si>
  <si>
    <t>Ratio of costs per acre to cost per foot are the same as for ShoreAgNoVeg</t>
  </si>
  <si>
    <t>* All costs converted to 2018$</t>
  </si>
  <si>
    <t>Practices with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</si>
  <si>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Practices without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</si>
  <si>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Living Shorelines for the Chesapeake Bay Watershed. 2007. http://www.cbf.org/Document.Doc?id=60</t>
  </si>
  <si>
    <t>The Virginia Stream Restoration &amp; Stabilization Best Management Practices Guide. 2004. Virginia Department of Conservation &amp; Recreation. Urban Stream Restoration, U-4 Fact Sheet. Accessible electronically from: http://chesapeakestormwater.net/bmp-resources/urban-stream-restoration/</t>
  </si>
  <si>
    <t>Minnesota Wetland Restoration Guide: Restoration Strategies http://bwsr.state.mn.us/restoration/resources/documents/appendix-3a.pdf</t>
  </si>
  <si>
    <t>USDA/NRCS/VA FY16 State-wide Average Cost (typical average cost to install conservation practices and associated average annual costs) for Conservation Practices used in Virginia</t>
  </si>
  <si>
    <t>MD NRCS Practice Catalog https://efotg.sc.egov.usda.gov/references/public/MW/2010_MD_Practice_Catalog.pdf</t>
  </si>
  <si>
    <t>NY NRCS Wetland Restoration Practice Scenario https://efotg.sc.egov.usda.gov/references/public/NY/NY_2017_Wetland_Restoration.pdf</t>
  </si>
  <si>
    <t>DE NRCS Wetland Restoration Practice Scenario https://efotg.sc.egov.usda.gov/references/public/DE/DE_2017_Payment_Schedule.pdf</t>
  </si>
  <si>
    <t>PA NRCS Wetland Restoration Practice Scenario https://efotg.sc.egov.usda.gov/references/public/PA/CostScenario657-WetlandRestoration.pdf</t>
  </si>
  <si>
    <t>Pennsylvania Department of Environmental Protection (PADEP). 2004. Pennsylvania's Chesapeake Bay Tributary Strategy. December 2004.</t>
  </si>
  <si>
    <t>Weiland, R., D. Parker, W. Gans, and A. Martin. 2009. Costs and Cost Efficiencies for Some Nutrient Reduction Practices in Maryland. Prepared for National Oceanic and Atmospheric Adminstration, Chesapeake Bay Program Office, and Maryland Department of Natural Resources.</t>
  </si>
  <si>
    <t>Shaffer, R.M., Haney, H.L., Worrell, E.G. and Aust, W.M., 1998. Forestry BMP implementation costs for Virginia. Forest Products Journal, Vol. 48, No. 9 Sept. 1998.</t>
  </si>
  <si>
    <t>Kelly, M.C., Germain, R.H. and Bick, S., 2017. Impacts of forestry best management practices on logging costs and productivity in the Northeastern USA. Journal of Forestry, 115(6), pp.503-512.</t>
  </si>
  <si>
    <t>Aust, W.M., Shaffer, R.M. and Burger, J.A., 1996. Benefits and costs of forestry best management practices in Virginia. Southern Journal of Applied Forestry, 20(1), pp.23-29.</t>
  </si>
  <si>
    <t>US Department of the Interior (USDOI). Bureau of Mines. 1979. Abaondoned Coal-Mined Lands: Nature, Extent, and Cost of Reclamation</t>
  </si>
  <si>
    <t>Stephenson, K., Aultman, S., Metcalfe, T. and Miller, A., 2010. An evaluation of nutrient nonpoint offset trading in Virginia: A role for agricultural nonpoint sources?. Water Resources Research, 46(4).</t>
  </si>
  <si>
    <t>Hudson, K. 2017. Virginia Shellfish Aquaculture Situation and Outlook Report, VIMS</t>
  </si>
  <si>
    <t>University of Maryland, Center for Environmental Science and Oyster Recover Partnership. 2016. 2016 Oyster Seed Prices and Policies.</t>
  </si>
  <si>
    <t>VIMS. 2013. Cultchless (Single-Seed) Oyster Crop Budgets for Virginia. 2013 User Manual</t>
  </si>
  <si>
    <t>Parker et al.  2013. Bottom Culture Cost Analysis.  Oyster Aquaculture Technology Series.  University of Marlyand Extension.</t>
  </si>
  <si>
    <t>Sano, D, Hodges, A, and R. Degner. 2005. Economic Analysis of Water Treatments for Phosphorus Removal in Florida.  University of Florida, IFAS Extension, EDIS document FE576</t>
  </si>
  <si>
    <t>HydroMentia. 2013. Present Worth Analysis for Algal Turf Scrubber® Applications in Ellerbe and Little Lick Creek Watersheds.  Presented to City of Durham Stormwater Services, September 26, 2013</t>
  </si>
  <si>
    <t>PA NRCS Streambank and Shoreline Protection Scenarios https://efotg.sc.egov.usda.gov/references/public/PA/CostScenario580-StreambankandShorelineProtection.pdf</t>
  </si>
  <si>
    <t>VA NRCS Statewide Average Cost List https://efotg.sc.egov.usda.gov/references/public/VA/NRCSState-wideAverageCostListforFY201610.14.15.pdf</t>
  </si>
  <si>
    <t>DE NRCS Payment Schedule/ Scenarios https://efotg.sc.egov.usda.gov/references/public/DE/DE_2017_Payment_Schedule.pdf</t>
  </si>
  <si>
    <t>MD EQIP Payment Schedule  https://efotg.sc.egov.usda.gov/references/public/MW/MD-EQIP-2016_FINAL_1-6-16_-_FOR_POSTING.pdf</t>
  </si>
  <si>
    <t>NY NRCS Streambank and Shoreline Protection Scenarios https://efotg.sc.egov.usda.gov/references/public/NY/NY_2017_Streambank_and_Shoreline_Protection.pdf</t>
  </si>
  <si>
    <t>WV NRCS Eqip Practice List https://www.nrcs.usda.gov/wps/portal/nrcs/detailfull/wv/programs/financial/eqip/?cid=stelprdb1193844</t>
  </si>
  <si>
    <t xml:space="preserve">Definition: Enhance wetlands by manipulation of the physical, chemical, or biological characteristics of a site with the goal of heightening, intensifying or improving functions of a wetland. Provides a load reduction to the acres draining to the wetland. Enter unit of total acres or percent of acres enhanced. </t>
  </si>
  <si>
    <t>VA 2016 EQIP [1]</t>
  </si>
  <si>
    <t>MD 2017 EQIP [2]</t>
  </si>
  <si>
    <t>NY 2017 [3]</t>
  </si>
  <si>
    <t>PA 2017 [4]</t>
  </si>
  <si>
    <t>Wetland Enhancement - Depression Sediment Removal and Ditch Plug</t>
  </si>
  <si>
    <t>Wetland Enhancement - Riverine Channel and Floodplain Restoration</t>
  </si>
  <si>
    <t>Wetland Enhancement - Enhanced wetland Topography</t>
  </si>
  <si>
    <t>Wetland Enhancement - Mineral Flat</t>
  </si>
  <si>
    <t>Wetland Enhancement - Riverine Levee Removal and Floodplain Features</t>
  </si>
  <si>
    <t>Wetland Enhancement - Estuarine Fringe Levee Removal</t>
  </si>
  <si>
    <t>Average Capital Cost ($2010/ac)</t>
  </si>
  <si>
    <t>Lifespan (yrs)</t>
  </si>
  <si>
    <t>O&amp;M cost ($2005/ac/yr) [5]</t>
  </si>
  <si>
    <t>O&amp;M cost ($2010/ac/yr)</t>
  </si>
  <si>
    <t>Annualized capital cost ($/ac)</t>
  </si>
  <si>
    <t>Total Annualized cost ($2010/ac/yr)</t>
  </si>
  <si>
    <t>1. 2016 VA EQIP Payment Rates https://efotg.sc.egov.usda.gov/references/public/VA/FY17EQIPPaymentRateFinal12.15.16.pdf</t>
  </si>
  <si>
    <t>2. 2017 MD EQIP Payment Schedule  https://efotg.sc.egov.usda.gov/references/public/MW/MD-EQIP-2016_FINAL_1-6-16_-_FOR_POSTING.pdf</t>
  </si>
  <si>
    <t>3. 2017 NY NRCS Wetland Enhancement Scenarioshttps://efotg.sc.egov.usda.gov/references/public/NY/NY_2017_Wetland_Enhancement.pdf</t>
  </si>
  <si>
    <t>4.  2017 PA NRCS Wetland Enhancement https://efotg.sc.egov.usda.gov/references/public/PA/CostScenario659-WetlandEnhancement.pdf</t>
  </si>
  <si>
    <t>5. Terance Rephann 2010.  Economic Impacts of Implementing Agricultural Best Management Practicesto Achieve Goals Outlined in Virginia'sTributary Strategy</t>
  </si>
  <si>
    <t>Rephann, Terance 2010.  Economic Impacts of Implementing Agricultural Best Management Practicesto Achieve Goals Outlined in Virginia'sTributary Strategy</t>
  </si>
  <si>
    <t>O&amp;M cost ($2018/ac/yr)</t>
  </si>
  <si>
    <t xml:space="preserve">Opportunity cost ($2018/ac) </t>
  </si>
  <si>
    <t>Wetland Enhancment</t>
  </si>
  <si>
    <t>Present value of farm revenue foregone per acre converted -- average cropland value (based on average land rental rate)</t>
  </si>
  <si>
    <t xml:space="preserve">Opportunity cost (2018$/ac) </t>
  </si>
  <si>
    <t>Construction Cost Index</t>
  </si>
  <si>
    <t>1.5 Million Triploid Seed Oysters [6] (2018$)</t>
  </si>
  <si>
    <t>11.  Annual O&amp;M are assumed to include planting and harvest activities</t>
  </si>
  <si>
    <t>Diploid Oyster Aquaculture 3.5 Inches</t>
  </si>
  <si>
    <t>Definition: Oyster reef restoration – enhanced denitrification: Restoration of oyster reefs in tidal areas of the Chesapeake Bay or its tributaries using hatchery-produced oysters and/or using substrate addition to enhance oyster biomass in areas where removal (harvest) is not permitted. Enter the area (in acres) of the reef restoration project.</t>
  </si>
  <si>
    <t>Definition: Oyster reef restoration – nutrient assimilation: Restoration of oyster reefs in tidal areas of the Chesapeake Bay or its tributaries using hatchery-produced oysters and/or using substrate addition to enhance oyster biomass in areas where removal (harvest) is not permitted. Enter the area (in acres) of the reef restoration project.</t>
  </si>
  <si>
    <t>Oyster Reef Restoration</t>
  </si>
  <si>
    <t>Construction Costs (2010$/ha) [1]</t>
  </si>
  <si>
    <t>Median</t>
  </si>
  <si>
    <t xml:space="preserve">Construction Costs (2018$/acre) </t>
  </si>
  <si>
    <t>O&amp;M cost (% of construction cost) [2]</t>
  </si>
  <si>
    <t xml:space="preserve">Annual O&amp;M Costs (2018$/yr/acre) </t>
  </si>
  <si>
    <t>[1] Bayraktarov, E., Saunders, M.I., Abdullah, S., Mills, M., Beher, J., Possingham, H.P., Mumby, P.J. and Lovelock, C.E., 2016. The cost and feasibility of marine coastal restoration. Ecological Applications, 26(4), pp.1055-1074.</t>
  </si>
  <si>
    <t>[2] New York Governor’s Office of Storm Recovery. 2017. Rebuild by Design Living Breakwaters Project Benefit Cost Analysis</t>
  </si>
  <si>
    <t>[3] Schulte, D., G. Ray, and D. Shafer. 2009. Use of alternative materials for oyster reef construction. EMRRP Technical Notes Collection (ERDC TN-EMRRP-ER-12). Vicksburg, MS: U.S. Army Engineer Research and Development Center.</t>
  </si>
  <si>
    <t>Construction costs are based on data (9 cost estimates) compiled by Bayraktarov et al (2019) summarizing findings for restoration projects around the world.  The 9 selected estimates for this application were the ones reported for projects in the Chesapeake Bay jurisdictions.</t>
  </si>
  <si>
    <t>$/acre</t>
  </si>
  <si>
    <t>Oyster reef restoration – nutrient assimilation</t>
  </si>
  <si>
    <t>$/acre/yr</t>
  </si>
  <si>
    <t>Oyster reef restoration – enhanced denitrification</t>
  </si>
  <si>
    <t>Bayraktarov, E., Saunders, M.I., Abdullah, S., Mills, M., Beher, J., Possingham, H.P., Mumby, P.J. and Lovelock, C.E., 2016. The cost and feasibility of marine coastal restoration. Ecological Applications, 26(4), pp.1055-1074.</t>
  </si>
  <si>
    <t>New York Governor’s Office of Storm Recovery. 2017. Rebuild by Design Living Breakwaters Project Benefit Cost Analysis</t>
  </si>
  <si>
    <t>Schulte, D., G. Ray, and D. Shafer. 2009. Use of alternative materials for oyster reef construction. EMRRP Technical Notes Collection (ERDC TN-EMRRP-ER-12). Vicksburg, MS: U.S. Army Engineer Research and Development Center.</t>
  </si>
  <si>
    <t xml:space="preserve">Rivers &amp; Coast: Newsletter of the Center for Coastal Resources Management. Summer 2014, Vol. 9, No.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</si>
</sst>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 numFmtId="168" formatCode="0.0000"/>
    <numFmt numFmtId="169" formatCode="&quot;$&quot;#,##0.0000"/>
    <numFmt numFmtId="170" formatCode="&quot;$&quot;#,##0.0000_);[Red]\(&quot;$&quot;#,##0.0000\)"/>
    <numFmt numFmtId="171" formatCode="0.0"/>
    <numFmt numFmtId="172" formatCode="#,##0.0"/>
    <numFmt numFmtId="173" formatCode="_(&quot;$&quot;* #,##0_);_(&quot;$&quot;* \(#,##0\);_(&quot;$&quot;* &quot;-&quot;??_);_(@_)"/>
    <numFmt numFmtId="174" formatCode="&quot;$&quot;#,##0.000_);[Red]\(&quot;$&quot;#,##0.000\)"/>
    <numFmt numFmtId="175" formatCode="_(&quot;$&quot;* #,##0.000_);_(&quot;$&quot;* \(#,##0.000\);_(&quot;$&quot;* &quot;-&quot;??_);_(@_)"/>
    <numFmt numFmtId="176" formatCode="0.000000"/>
  </numFmts>
  <fonts count="35" x14ac:knownFonts="1">
    <font>
      <sz val="11"/>
      <color theme="1"/>
      <name val="Calibri"/>
      <family val="2"/>
      <scheme val="minor"/>
    </font>
    <font>
      <b/>
      <sz val="11"/>
      <color theme="1"/>
      <name val="Calibri"/>
      <family val="2"/>
      <scheme val="minor"/>
    </font>
    <font>
      <sz val="11"/>
      <color theme="4" tint="-0.249977111117893"/>
      <name val="Calibri"/>
      <family val="2"/>
      <scheme val="minor"/>
    </font>
    <font>
      <sz val="11"/>
      <color theme="1"/>
      <name val="Calibri"/>
      <family val="2"/>
      <scheme val="minor"/>
    </font>
    <font>
      <i/>
      <sz val="11"/>
      <color theme="1"/>
      <name val="Calibri"/>
      <family val="2"/>
      <scheme val="minor"/>
    </font>
    <font>
      <i/>
      <sz val="9"/>
      <color indexed="8"/>
      <name val="Arial"/>
      <family val="2"/>
    </font>
    <font>
      <b/>
      <sz val="9"/>
      <color theme="1"/>
      <name val="Arial"/>
      <family val="2"/>
    </font>
    <font>
      <sz val="9"/>
      <color theme="1"/>
      <name val="Arial"/>
      <family val="2"/>
    </font>
    <font>
      <sz val="9"/>
      <name val="Arial"/>
      <family val="2"/>
    </font>
    <font>
      <b/>
      <sz val="9"/>
      <name val="Arial"/>
      <family val="2"/>
    </font>
    <font>
      <sz val="11"/>
      <color rgb="FF000000"/>
      <name val="Calibri"/>
      <family val="2"/>
      <scheme val="minor"/>
    </font>
    <font>
      <i/>
      <sz val="11"/>
      <color rgb="FFFF0000"/>
      <name val="Calibri"/>
      <family val="2"/>
      <scheme val="minor"/>
    </font>
    <font>
      <b/>
      <sz val="11"/>
      <color rgb="FF000000"/>
      <name val="Calibri"/>
      <family val="2"/>
      <scheme val="minor"/>
    </font>
    <font>
      <sz val="10"/>
      <name val="Arial"/>
      <family val="2"/>
    </font>
    <font>
      <b/>
      <sz val="10"/>
      <name val="Arial"/>
      <family val="2"/>
    </font>
    <font>
      <u/>
      <sz val="11"/>
      <color theme="10"/>
      <name val="Calibri"/>
      <family val="2"/>
      <scheme val="minor"/>
    </font>
    <font>
      <b/>
      <sz val="11"/>
      <color rgb="FF000000"/>
      <name val="Times New Roman"/>
      <family val="1"/>
    </font>
    <font>
      <b/>
      <sz val="11"/>
      <color theme="1"/>
      <name val="Times New Roman"/>
      <family val="1"/>
    </font>
    <font>
      <sz val="11"/>
      <color theme="1"/>
      <name val="Times New Roman"/>
      <family val="1"/>
    </font>
    <font>
      <sz val="11"/>
      <color rgb="FFFF0000"/>
      <name val="Calibri"/>
      <family val="2"/>
      <scheme val="minor"/>
    </font>
    <font>
      <b/>
      <sz val="12"/>
      <color theme="1"/>
      <name val="Calibri"/>
      <family val="2"/>
      <scheme val="minor"/>
    </font>
    <font>
      <i/>
      <sz val="9"/>
      <color theme="1"/>
      <name val="Arial"/>
      <family val="2"/>
    </font>
    <font>
      <sz val="11"/>
      <color rgb="FF0070C0"/>
      <name val="Calibri"/>
      <family val="2"/>
      <scheme val="minor"/>
    </font>
    <font>
      <sz val="9"/>
      <color rgb="FF0070C0"/>
      <name val="Arial"/>
      <family val="2"/>
    </font>
    <font>
      <sz val="8"/>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FF0000"/>
      <name val="Calibri"/>
      <family val="2"/>
      <scheme val="minor"/>
    </font>
    <font>
      <b/>
      <vertAlign val="superscript"/>
      <sz val="11"/>
      <color rgb="FFFF0000"/>
      <name val="Calibri"/>
      <family val="2"/>
      <scheme val="minor"/>
    </font>
    <font>
      <vertAlign val="superscript"/>
      <sz val="11"/>
      <color rgb="FFFF0000"/>
      <name val="Calibri"/>
      <family val="2"/>
      <scheme val="minor"/>
    </font>
    <font>
      <b/>
      <sz val="9"/>
      <color rgb="FFFF0000"/>
      <name val="Arial"/>
      <family val="2"/>
    </font>
    <font>
      <sz val="9"/>
      <color rgb="FFFF0000"/>
      <name val="Arial"/>
      <family val="2"/>
    </font>
    <font>
      <sz val="11"/>
      <name val="Calibri"/>
      <family val="2"/>
      <scheme val="minor"/>
    </font>
    <font>
      <sz val="9"/>
      <color rgb="FF000000"/>
      <name val="Arial"/>
      <family val="2"/>
    </font>
    <font>
      <sz val="11"/>
      <color rgb="FF00B0F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82878C"/>
        <bgColor indexed="64"/>
      </patternFill>
    </fill>
    <fill>
      <patternFill patternType="solid">
        <fgColor rgb="FFEEEEEE"/>
        <bgColor indexed="64"/>
      </patternFill>
    </fill>
    <fill>
      <patternFill patternType="solid">
        <fgColor theme="2" tint="-9.9978637043366805E-2"/>
        <bgColor indexed="64"/>
      </patternFill>
    </fill>
    <fill>
      <patternFill patternType="solid">
        <fgColor theme="0" tint="-4.9989318521683403E-2"/>
        <bgColor indexed="64"/>
      </patternFill>
    </fill>
  </fills>
  <borders count="6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0" fontId="13" fillId="0" borderId="0"/>
    <xf numFmtId="0" fontId="15"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405">
    <xf numFmtId="0" fontId="0" fillId="0" borderId="0" xfId="0"/>
    <xf numFmtId="0" fontId="0" fillId="0" borderId="2" xfId="0" applyBorder="1"/>
    <xf numFmtId="0" fontId="0" fillId="0" borderId="0" xfId="0" applyBorder="1"/>
    <xf numFmtId="0" fontId="0" fillId="0" borderId="1" xfId="0" applyBorder="1"/>
    <xf numFmtId="0" fontId="2" fillId="0" borderId="2" xfId="0" applyFont="1" applyBorder="1"/>
    <xf numFmtId="0" fontId="1" fillId="2" borderId="0" xfId="0" applyFont="1" applyFill="1" applyAlignment="1">
      <alignment wrapText="1"/>
    </xf>
    <xf numFmtId="0" fontId="1" fillId="2" borderId="0" xfId="0" applyFont="1" applyFill="1"/>
    <xf numFmtId="0" fontId="1" fillId="2" borderId="0" xfId="0" applyFont="1" applyFill="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2" fillId="0" borderId="2" xfId="0" applyFont="1" applyFill="1" applyBorder="1"/>
    <xf numFmtId="1" fontId="0" fillId="0" borderId="1" xfId="0" applyNumberFormat="1" applyBorder="1" applyAlignment="1">
      <alignment horizontal="center"/>
    </xf>
    <xf numFmtId="1" fontId="0" fillId="0" borderId="0" xfId="0" applyNumberFormat="1" applyBorder="1" applyAlignment="1">
      <alignment horizontal="center"/>
    </xf>
    <xf numFmtId="1" fontId="2" fillId="0" borderId="2" xfId="0" applyNumberFormat="1" applyFont="1" applyBorder="1" applyAlignment="1">
      <alignment horizontal="center"/>
    </xf>
    <xf numFmtId="0" fontId="1" fillId="0" borderId="11" xfId="0" applyFont="1" applyBorder="1" applyAlignment="1">
      <alignment horizontal="center" vertical="center" wrapText="1"/>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 borderId="11" xfId="0" applyFont="1" applyFill="1" applyBorder="1" applyAlignment="1">
      <alignment vertical="center"/>
    </xf>
    <xf numFmtId="164" fontId="0" fillId="2" borderId="12" xfId="0" applyNumberFormat="1" applyFill="1" applyBorder="1" applyAlignment="1">
      <alignment vertical="center"/>
    </xf>
    <xf numFmtId="164" fontId="0" fillId="3" borderId="13" xfId="0" applyNumberFormat="1" applyFill="1" applyBorder="1" applyAlignment="1">
      <alignment vertical="center"/>
    </xf>
    <xf numFmtId="164" fontId="0" fillId="3" borderId="14" xfId="0" applyNumberFormat="1" applyFill="1" applyBorder="1" applyAlignment="1">
      <alignment vertical="center"/>
    </xf>
    <xf numFmtId="0" fontId="0" fillId="3" borderId="11" xfId="0" applyFill="1" applyBorder="1" applyAlignment="1">
      <alignment horizontal="right" vertical="center"/>
    </xf>
    <xf numFmtId="0" fontId="0" fillId="5" borderId="12" xfId="0" applyFill="1" applyBorder="1" applyAlignment="1">
      <alignment vertical="center"/>
    </xf>
    <xf numFmtId="0" fontId="0" fillId="5" borderId="13" xfId="0" applyFill="1" applyBorder="1" applyAlignment="1">
      <alignment vertical="center"/>
    </xf>
    <xf numFmtId="0" fontId="0" fillId="3" borderId="14" xfId="0" applyFill="1" applyBorder="1" applyAlignment="1">
      <alignment vertical="center"/>
    </xf>
    <xf numFmtId="0" fontId="1" fillId="3" borderId="15" xfId="0" applyFont="1" applyFill="1" applyBorder="1" applyAlignment="1">
      <alignment vertical="center"/>
    </xf>
    <xf numFmtId="164" fontId="0" fillId="2" borderId="16" xfId="0" applyNumberFormat="1" applyFill="1" applyBorder="1" applyAlignment="1">
      <alignment vertical="center"/>
    </xf>
    <xf numFmtId="164" fontId="0" fillId="3" borderId="17" xfId="0" applyNumberFormat="1" applyFill="1" applyBorder="1" applyAlignment="1">
      <alignment vertical="center"/>
    </xf>
    <xf numFmtId="164" fontId="0" fillId="3" borderId="18" xfId="0" applyNumberFormat="1" applyFill="1" applyBorder="1" applyAlignment="1">
      <alignment vertical="center"/>
    </xf>
    <xf numFmtId="0" fontId="1" fillId="3" borderId="19" xfId="0" applyFont="1" applyFill="1" applyBorder="1" applyAlignment="1">
      <alignment vertical="center"/>
    </xf>
    <xf numFmtId="164" fontId="0" fillId="3" borderId="19" xfId="0" applyNumberFormat="1" applyFill="1" applyBorder="1" applyAlignment="1">
      <alignment vertical="center"/>
    </xf>
    <xf numFmtId="0" fontId="0" fillId="0" borderId="12" xfId="0" applyBorder="1"/>
    <xf numFmtId="0" fontId="5" fillId="0" borderId="0" xfId="0" applyFont="1"/>
    <xf numFmtId="0" fontId="6" fillId="6" borderId="0" xfId="0" applyFont="1" applyFill="1" applyAlignment="1">
      <alignment horizontal="center"/>
    </xf>
    <xf numFmtId="0" fontId="6" fillId="0" borderId="0" xfId="0" applyFont="1" applyAlignment="1">
      <alignment horizontal="center"/>
    </xf>
    <xf numFmtId="0" fontId="7" fillId="0" borderId="0" xfId="0" applyFont="1"/>
    <xf numFmtId="164" fontId="7" fillId="0" borderId="0" xfId="0" applyNumberFormat="1" applyFont="1"/>
    <xf numFmtId="2" fontId="7" fillId="0" borderId="0" xfId="0" applyNumberFormat="1" applyFont="1"/>
    <xf numFmtId="0" fontId="8" fillId="0" borderId="0" xfId="0" applyFont="1"/>
    <xf numFmtId="164" fontId="7" fillId="0" borderId="0" xfId="0" applyNumberFormat="1" applyFont="1" applyAlignment="1">
      <alignment horizontal="left" vertical="top"/>
    </xf>
    <xf numFmtId="2" fontId="7" fillId="0" borderId="0" xfId="0" applyNumberFormat="1" applyFont="1" applyAlignment="1">
      <alignment horizontal="left" vertical="top"/>
    </xf>
    <xf numFmtId="0" fontId="7" fillId="0" borderId="0" xfId="0" applyFont="1" applyAlignment="1">
      <alignment horizontal="left" vertical="top"/>
    </xf>
    <xf numFmtId="0" fontId="7" fillId="5" borderId="0" xfId="0" applyFont="1" applyFill="1" applyAlignment="1">
      <alignment horizontal="left" vertical="top"/>
    </xf>
    <xf numFmtId="164" fontId="7" fillId="5" borderId="0" xfId="0" applyNumberFormat="1" applyFont="1" applyFill="1"/>
    <xf numFmtId="0" fontId="8" fillId="5" borderId="0" xfId="0" applyFont="1" applyFill="1"/>
    <xf numFmtId="1" fontId="7" fillId="5" borderId="0" xfId="0" applyNumberFormat="1" applyFont="1" applyFill="1"/>
    <xf numFmtId="7" fontId="7" fillId="5" borderId="0" xfId="2" applyNumberFormat="1" applyFont="1" applyFill="1"/>
    <xf numFmtId="0" fontId="9" fillId="0" borderId="0" xfId="0" applyFont="1"/>
    <xf numFmtId="164" fontId="6" fillId="0" borderId="0" xfId="0" applyNumberFormat="1" applyFont="1"/>
    <xf numFmtId="0" fontId="6" fillId="0" borderId="0" xfId="0" applyFont="1"/>
    <xf numFmtId="0" fontId="0" fillId="3" borderId="0" xfId="0" applyFill="1"/>
    <xf numFmtId="0" fontId="4" fillId="3" borderId="23" xfId="0" applyFont="1" applyFill="1" applyBorder="1"/>
    <xf numFmtId="0" fontId="1" fillId="3" borderId="24" xfId="0" applyFont="1" applyFill="1" applyBorder="1" applyAlignment="1">
      <alignment horizontal="right"/>
    </xf>
    <xf numFmtId="0" fontId="0" fillId="3" borderId="25" xfId="0" applyFill="1" applyBorder="1"/>
    <xf numFmtId="0" fontId="1" fillId="0" borderId="4" xfId="0" applyFont="1" applyBorder="1"/>
    <xf numFmtId="0" fontId="1" fillId="0" borderId="7" xfId="0" applyFont="1" applyBorder="1" applyAlignment="1">
      <alignment horizontal="center"/>
    </xf>
    <xf numFmtId="0" fontId="1" fillId="0" borderId="26" xfId="0" applyFont="1" applyBorder="1"/>
    <xf numFmtId="0" fontId="1" fillId="0" borderId="27" xfId="0" applyFont="1" applyBorder="1" applyAlignment="1">
      <alignment horizontal="center"/>
    </xf>
    <xf numFmtId="0" fontId="1" fillId="3" borderId="11" xfId="0" applyFont="1" applyFill="1" applyBorder="1"/>
    <xf numFmtId="165" fontId="0" fillId="3" borderId="14" xfId="0" applyNumberFormat="1" applyFill="1" applyBorder="1"/>
    <xf numFmtId="165" fontId="0" fillId="3" borderId="28" xfId="0" applyNumberFormat="1" applyFill="1" applyBorder="1"/>
    <xf numFmtId="0" fontId="1" fillId="3" borderId="11" xfId="0" applyFont="1" applyFill="1" applyBorder="1" applyAlignment="1">
      <alignment wrapText="1"/>
    </xf>
    <xf numFmtId="0" fontId="0" fillId="3" borderId="11" xfId="0" applyFill="1" applyBorder="1"/>
    <xf numFmtId="0" fontId="0" fillId="3" borderId="14" xfId="0" applyFill="1" applyBorder="1"/>
    <xf numFmtId="0" fontId="0" fillId="3" borderId="28" xfId="0" applyFill="1" applyBorder="1"/>
    <xf numFmtId="0" fontId="0" fillId="5" borderId="14" xfId="0" applyFill="1" applyBorder="1"/>
    <xf numFmtId="0" fontId="0" fillId="3" borderId="23" xfId="0" applyFill="1" applyBorder="1"/>
    <xf numFmtId="0" fontId="0" fillId="3" borderId="4" xfId="0" applyFill="1" applyBorder="1"/>
    <xf numFmtId="0" fontId="1" fillId="3" borderId="5" xfId="0" applyFont="1" applyFill="1" applyBorder="1" applyAlignment="1">
      <alignment horizontal="center"/>
    </xf>
    <xf numFmtId="0" fontId="1" fillId="3" borderId="7" xfId="0" applyFont="1" applyFill="1" applyBorder="1" applyAlignment="1">
      <alignment horizontal="center"/>
    </xf>
    <xf numFmtId="164" fontId="0" fillId="3" borderId="0" xfId="0" applyNumberFormat="1" applyFill="1"/>
    <xf numFmtId="164" fontId="0" fillId="3" borderId="12" xfId="0" applyNumberFormat="1" applyFill="1" applyBorder="1"/>
    <xf numFmtId="164" fontId="0" fillId="3" borderId="14" xfId="0" applyNumberFormat="1" applyFill="1" applyBorder="1"/>
    <xf numFmtId="0" fontId="1" fillId="3" borderId="8" xfId="0" applyFont="1" applyFill="1" applyBorder="1"/>
    <xf numFmtId="164" fontId="0" fillId="5" borderId="12" xfId="0" applyNumberFormat="1" applyFill="1" applyBorder="1"/>
    <xf numFmtId="164" fontId="0" fillId="3" borderId="9" xfId="0" applyNumberFormat="1" applyFill="1" applyBorder="1"/>
    <xf numFmtId="164" fontId="0" fillId="3" borderId="10" xfId="0" applyNumberFormat="1" applyFill="1" applyBorder="1"/>
    <xf numFmtId="0" fontId="0" fillId="3" borderId="0" xfId="0" applyFill="1" applyAlignment="1">
      <alignment wrapText="1"/>
    </xf>
    <xf numFmtId="0" fontId="1" fillId="3" borderId="0" xfId="0" applyFont="1" applyFill="1"/>
    <xf numFmtId="0" fontId="2" fillId="0" borderId="9" xfId="0" applyFont="1" applyFill="1" applyBorder="1"/>
    <xf numFmtId="0" fontId="2" fillId="0" borderId="9" xfId="0" applyFont="1" applyBorder="1"/>
    <xf numFmtId="1" fontId="2" fillId="0" borderId="9" xfId="0" applyNumberFormat="1" applyFont="1" applyBorder="1" applyAlignment="1">
      <alignment horizontal="center"/>
    </xf>
    <xf numFmtId="165" fontId="6" fillId="6" borderId="0" xfId="0" applyNumberFormat="1" applyFont="1" applyFill="1" applyAlignment="1">
      <alignment horizontal="center"/>
    </xf>
    <xf numFmtId="164" fontId="6" fillId="6" borderId="0" xfId="0" applyNumberFormat="1" applyFont="1" applyFill="1" applyAlignment="1">
      <alignment horizontal="center"/>
    </xf>
    <xf numFmtId="0" fontId="9" fillId="6" borderId="0" xfId="0" applyFont="1" applyFill="1"/>
    <xf numFmtId="0" fontId="7" fillId="5" borderId="0" xfId="0" applyFont="1" applyFill="1"/>
    <xf numFmtId="166" fontId="7" fillId="5" borderId="0" xfId="1" applyNumberFormat="1" applyFont="1" applyFill="1"/>
    <xf numFmtId="8" fontId="7" fillId="0" borderId="0" xfId="0" applyNumberFormat="1" applyFont="1"/>
    <xf numFmtId="8" fontId="6" fillId="0" borderId="0" xfId="0" applyNumberFormat="1" applyFont="1"/>
    <xf numFmtId="6" fontId="7" fillId="0" borderId="0" xfId="0" applyNumberFormat="1" applyFont="1"/>
    <xf numFmtId="0" fontId="1" fillId="0" borderId="0" xfId="0" applyFont="1" applyAlignment="1">
      <alignment horizontal="center"/>
    </xf>
    <xf numFmtId="0" fontId="10" fillId="0" borderId="12" xfId="0" applyFont="1" applyBorder="1" applyAlignment="1">
      <alignment vertical="center"/>
    </xf>
    <xf numFmtId="6" fontId="10" fillId="0" borderId="12" xfId="0" applyNumberFormat="1" applyFont="1" applyBorder="1" applyAlignment="1">
      <alignment horizontal="center" vertical="center"/>
    </xf>
    <xf numFmtId="6" fontId="11" fillId="0" borderId="12" xfId="0" applyNumberFormat="1" applyFont="1" applyBorder="1" applyAlignment="1">
      <alignment horizontal="center" vertical="center"/>
    </xf>
    <xf numFmtId="0" fontId="12" fillId="2" borderId="12" xfId="0" applyFont="1" applyFill="1" applyBorder="1" applyAlignment="1">
      <alignment vertical="center"/>
    </xf>
    <xf numFmtId="6" fontId="12" fillId="2" borderId="12" xfId="0" applyNumberFormat="1" applyFont="1" applyFill="1" applyBorder="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3" fillId="0" borderId="0" xfId="3"/>
    <xf numFmtId="0" fontId="13" fillId="0" borderId="12" xfId="3" applyBorder="1"/>
    <xf numFmtId="0" fontId="13" fillId="0" borderId="13" xfId="3" applyBorder="1"/>
    <xf numFmtId="0" fontId="13" fillId="0" borderId="12" xfId="3" applyBorder="1" applyAlignment="1">
      <alignment horizontal="right"/>
    </xf>
    <xf numFmtId="0" fontId="14" fillId="0" borderId="0" xfId="3" applyFont="1"/>
    <xf numFmtId="0" fontId="16" fillId="7" borderId="32" xfId="0" applyFont="1" applyFill="1" applyBorder="1" applyAlignment="1">
      <alignment horizontal="left" vertical="center" wrapText="1"/>
    </xf>
    <xf numFmtId="0" fontId="17" fillId="8" borderId="32" xfId="0" applyFont="1" applyFill="1" applyBorder="1" applyAlignment="1">
      <alignment horizontal="left" vertical="center" wrapText="1"/>
    </xf>
    <xf numFmtId="0" fontId="18" fillId="8" borderId="32" xfId="0" applyFont="1" applyFill="1" applyBorder="1" applyAlignment="1">
      <alignment horizontal="left" vertical="center" wrapText="1"/>
    </xf>
    <xf numFmtId="0" fontId="17" fillId="0" borderId="32" xfId="0" applyFont="1" applyBorder="1" applyAlignment="1">
      <alignment horizontal="left" vertical="center" wrapText="1"/>
    </xf>
    <xf numFmtId="0" fontId="18" fillId="0" borderId="32" xfId="0" applyFont="1" applyBorder="1" applyAlignment="1">
      <alignment horizontal="left" vertical="center" wrapText="1"/>
    </xf>
    <xf numFmtId="0" fontId="15" fillId="0" borderId="0" xfId="4"/>
    <xf numFmtId="0" fontId="20" fillId="0" borderId="0" xfId="0" applyFont="1"/>
    <xf numFmtId="167" fontId="0" fillId="0" borderId="0" xfId="5" applyNumberFormat="1" applyFont="1"/>
    <xf numFmtId="2" fontId="0" fillId="0" borderId="0" xfId="0" applyNumberFormat="1"/>
    <xf numFmtId="168" fontId="0" fillId="0" borderId="0" xfId="0" applyNumberFormat="1"/>
    <xf numFmtId="0" fontId="21" fillId="0" borderId="0" xfId="0" applyFont="1"/>
    <xf numFmtId="0" fontId="7" fillId="0" borderId="33" xfId="0" applyFont="1" applyBorder="1"/>
    <xf numFmtId="0" fontId="6" fillId="6" borderId="35" xfId="0" applyFont="1" applyFill="1" applyBorder="1" applyAlignment="1">
      <alignment horizontal="center"/>
    </xf>
    <xf numFmtId="0" fontId="6" fillId="6" borderId="36" xfId="0" applyFont="1" applyFill="1" applyBorder="1" applyAlignment="1">
      <alignment horizontal="center"/>
    </xf>
    <xf numFmtId="164" fontId="7" fillId="0" borderId="35" xfId="0" applyNumberFormat="1" applyFont="1" applyBorder="1" applyAlignment="1">
      <alignment horizontal="center"/>
    </xf>
    <xf numFmtId="0" fontId="7" fillId="0" borderId="35" xfId="0" applyFont="1" applyBorder="1" applyAlignment="1">
      <alignment horizontal="center"/>
    </xf>
    <xf numFmtId="166" fontId="7" fillId="0" borderId="8" xfId="1" applyNumberFormat="1" applyFont="1" applyBorder="1" applyAlignment="1">
      <alignment horizontal="center"/>
    </xf>
    <xf numFmtId="166" fontId="7" fillId="0" borderId="35" xfId="1" applyNumberFormat="1" applyFont="1" applyBorder="1" applyAlignment="1">
      <alignment horizontal="center"/>
    </xf>
    <xf numFmtId="166" fontId="7" fillId="0" borderId="23" xfId="1" applyNumberFormat="1" applyFont="1" applyBorder="1"/>
    <xf numFmtId="166" fontId="7" fillId="0" borderId="37" xfId="1" applyNumberFormat="1" applyFont="1" applyBorder="1"/>
    <xf numFmtId="0" fontId="6" fillId="0" borderId="20" xfId="0" applyFont="1" applyBorder="1"/>
    <xf numFmtId="164" fontId="7" fillId="0" borderId="20" xfId="0" applyNumberFormat="1" applyFont="1" applyBorder="1"/>
    <xf numFmtId="164" fontId="7" fillId="0" borderId="38" xfId="0" applyNumberFormat="1" applyFont="1" applyBorder="1"/>
    <xf numFmtId="0" fontId="8" fillId="0" borderId="0" xfId="3" applyFont="1"/>
    <xf numFmtId="0" fontId="7" fillId="0" borderId="0" xfId="0" applyFont="1" applyAlignment="1">
      <alignment horizontal="center"/>
    </xf>
    <xf numFmtId="0" fontId="6" fillId="6" borderId="34" xfId="0" applyFont="1" applyFill="1" applyBorder="1"/>
    <xf numFmtId="0" fontId="6" fillId="6" borderId="36" xfId="0" applyFont="1" applyFill="1" applyBorder="1"/>
    <xf numFmtId="0" fontId="7" fillId="0" borderId="13" xfId="0" applyFont="1" applyBorder="1"/>
    <xf numFmtId="165" fontId="7" fillId="0" borderId="35" xfId="0" applyNumberFormat="1" applyFont="1" applyBorder="1" applyAlignment="1">
      <alignment horizontal="center"/>
    </xf>
    <xf numFmtId="165" fontId="7" fillId="0" borderId="8" xfId="0" applyNumberFormat="1" applyFont="1" applyBorder="1"/>
    <xf numFmtId="165" fontId="7" fillId="0" borderId="35" xfId="0" applyNumberFormat="1" applyFont="1" applyBorder="1"/>
    <xf numFmtId="165" fontId="7" fillId="0" borderId="8" xfId="0" applyNumberFormat="1" applyFont="1" applyBorder="1" applyAlignment="1">
      <alignment horizontal="center"/>
    </xf>
    <xf numFmtId="165" fontId="7" fillId="0" borderId="37" xfId="0" applyNumberFormat="1" applyFont="1" applyBorder="1" applyAlignment="1">
      <alignment horizontal="center"/>
    </xf>
    <xf numFmtId="165" fontId="7" fillId="0" borderId="23" xfId="0" applyNumberFormat="1" applyFont="1" applyBorder="1" applyAlignment="1">
      <alignment horizontal="center"/>
    </xf>
    <xf numFmtId="165" fontId="7" fillId="0" borderId="39" xfId="0" applyNumberFormat="1" applyFont="1" applyBorder="1" applyAlignment="1">
      <alignment horizontal="center"/>
    </xf>
    <xf numFmtId="165" fontId="7" fillId="0" borderId="29" xfId="0" applyNumberFormat="1" applyFont="1" applyBorder="1" applyAlignment="1">
      <alignment horizontal="center"/>
    </xf>
    <xf numFmtId="0" fontId="8" fillId="0" borderId="0" xfId="3" applyFont="1" applyAlignment="1">
      <alignment horizontal="center"/>
    </xf>
    <xf numFmtId="0" fontId="0" fillId="0" borderId="9" xfId="0" applyBorder="1"/>
    <xf numFmtId="0" fontId="22" fillId="0" borderId="2" xfId="0" applyFont="1" applyFill="1" applyBorder="1"/>
    <xf numFmtId="0" fontId="22" fillId="0" borderId="9" xfId="0" applyFont="1" applyBorder="1"/>
    <xf numFmtId="0" fontId="22" fillId="0" borderId="2" xfId="0" applyFont="1" applyBorder="1" applyAlignment="1">
      <alignment horizontal="center"/>
    </xf>
    <xf numFmtId="0" fontId="22" fillId="0" borderId="2" xfId="0" applyFont="1" applyBorder="1"/>
    <xf numFmtId="0" fontId="23" fillId="0" borderId="0" xfId="0" applyFont="1"/>
    <xf numFmtId="0" fontId="22" fillId="0" borderId="9" xfId="0" applyFont="1" applyBorder="1" applyAlignment="1">
      <alignment horizontal="center"/>
    </xf>
    <xf numFmtId="0" fontId="22" fillId="0" borderId="2" xfId="0" applyFont="1" applyBorder="1" applyAlignment="1">
      <alignment horizontal="left"/>
    </xf>
    <xf numFmtId="171" fontId="22" fillId="0" borderId="9" xfId="0" applyNumberFormat="1" applyFont="1" applyBorder="1" applyAlignment="1">
      <alignment horizontal="center"/>
    </xf>
    <xf numFmtId="172" fontId="22" fillId="0" borderId="9" xfId="0" applyNumberFormat="1" applyFont="1" applyBorder="1" applyAlignment="1">
      <alignment horizontal="center"/>
    </xf>
    <xf numFmtId="0" fontId="22" fillId="0" borderId="2" xfId="0" applyFont="1" applyFill="1" applyBorder="1" applyAlignment="1">
      <alignment horizontal="center"/>
    </xf>
    <xf numFmtId="0" fontId="22" fillId="0" borderId="9" xfId="0" applyFont="1" applyFill="1" applyBorder="1" applyAlignment="1">
      <alignment horizontal="center"/>
    </xf>
    <xf numFmtId="1" fontId="22" fillId="0" borderId="2" xfId="0" applyNumberFormat="1" applyFont="1" applyBorder="1" applyAlignment="1">
      <alignment horizontal="center"/>
    </xf>
    <xf numFmtId="0" fontId="7" fillId="0" borderId="40" xfId="0" applyFont="1" applyBorder="1"/>
    <xf numFmtId="0" fontId="6" fillId="6" borderId="0" xfId="0" applyFont="1" applyFill="1"/>
    <xf numFmtId="173" fontId="7" fillId="0" borderId="0" xfId="2" applyNumberFormat="1" applyFont="1" applyFill="1"/>
    <xf numFmtId="173" fontId="7" fillId="0" borderId="0" xfId="2" applyNumberFormat="1" applyFont="1"/>
    <xf numFmtId="173" fontId="7" fillId="0" borderId="0" xfId="2" applyNumberFormat="1" applyFont="1" applyBorder="1"/>
    <xf numFmtId="0" fontId="7" fillId="0" borderId="9" xfId="0" applyFont="1" applyBorder="1" applyAlignment="1">
      <alignment horizontal="left" indent="1"/>
    </xf>
    <xf numFmtId="173" fontId="7" fillId="0" borderId="9" xfId="0" applyNumberFormat="1" applyFont="1" applyBorder="1"/>
    <xf numFmtId="0" fontId="7" fillId="0" borderId="9" xfId="0" applyFont="1" applyBorder="1" applyAlignment="1">
      <alignment horizontal="center"/>
    </xf>
    <xf numFmtId="173" fontId="7" fillId="0" borderId="9" xfId="2" applyNumberFormat="1" applyFont="1" applyBorder="1"/>
    <xf numFmtId="0" fontId="7" fillId="0" borderId="2" xfId="0" applyFont="1" applyBorder="1"/>
    <xf numFmtId="0" fontId="7" fillId="0" borderId="2" xfId="0" applyFont="1" applyBorder="1" applyAlignment="1">
      <alignment horizontal="center"/>
    </xf>
    <xf numFmtId="0" fontId="7" fillId="2" borderId="0" xfId="0" applyFont="1" applyFill="1"/>
    <xf numFmtId="0" fontId="6" fillId="2" borderId="43" xfId="0" applyFont="1" applyFill="1" applyBorder="1" applyAlignment="1">
      <alignment horizontal="center" wrapText="1"/>
    </xf>
    <xf numFmtId="0" fontId="6" fillId="2" borderId="2" xfId="0" applyFont="1" applyFill="1" applyBorder="1" applyAlignment="1">
      <alignment horizontal="center"/>
    </xf>
    <xf numFmtId="0" fontId="6" fillId="2" borderId="44" xfId="0" applyFont="1" applyFill="1" applyBorder="1" applyAlignment="1">
      <alignment horizontal="center"/>
    </xf>
    <xf numFmtId="0" fontId="7" fillId="5" borderId="0" xfId="0" applyFont="1" applyFill="1" applyAlignment="1">
      <alignment horizontal="center"/>
    </xf>
    <xf numFmtId="3" fontId="7" fillId="0" borderId="45" xfId="0" applyNumberFormat="1" applyFont="1" applyBorder="1" applyAlignment="1">
      <alignment horizontal="center"/>
    </xf>
    <xf numFmtId="6" fontId="7" fillId="0" borderId="0" xfId="0" applyNumberFormat="1" applyFont="1" applyAlignment="1">
      <alignment horizontal="center"/>
    </xf>
    <xf numFmtId="6" fontId="6" fillId="0" borderId="46" xfId="0" applyNumberFormat="1" applyFont="1" applyBorder="1" applyAlignment="1">
      <alignment horizontal="center"/>
    </xf>
    <xf numFmtId="174" fontId="6" fillId="0" borderId="45" xfId="0" applyNumberFormat="1" applyFont="1" applyBorder="1" applyAlignment="1">
      <alignment horizontal="center"/>
    </xf>
    <xf numFmtId="174" fontId="6" fillId="9" borderId="48" xfId="0" applyNumberFormat="1" applyFont="1" applyFill="1" applyBorder="1" applyAlignment="1">
      <alignment horizontal="center"/>
    </xf>
    <xf numFmtId="0" fontId="7" fillId="5" borderId="2" xfId="0" applyFont="1" applyFill="1" applyBorder="1" applyAlignment="1">
      <alignment horizontal="center"/>
    </xf>
    <xf numFmtId="3" fontId="7" fillId="0" borderId="43" xfId="0" applyNumberFormat="1" applyFont="1" applyBorder="1" applyAlignment="1">
      <alignment horizontal="center"/>
    </xf>
    <xf numFmtId="6" fontId="7" fillId="0" borderId="2" xfId="0" applyNumberFormat="1" applyFont="1" applyBorder="1" applyAlignment="1">
      <alignment horizontal="center"/>
    </xf>
    <xf numFmtId="6" fontId="6" fillId="0" borderId="44" xfId="0" applyNumberFormat="1" applyFont="1" applyBorder="1" applyAlignment="1">
      <alignment horizontal="center"/>
    </xf>
    <xf numFmtId="174" fontId="6" fillId="0" borderId="43" xfId="0" applyNumberFormat="1" applyFont="1" applyBorder="1" applyAlignment="1">
      <alignment horizontal="center"/>
    </xf>
    <xf numFmtId="170" fontId="6" fillId="0" borderId="47" xfId="0" applyNumberFormat="1" applyFont="1" applyBorder="1" applyAlignment="1">
      <alignment horizontal="center"/>
    </xf>
    <xf numFmtId="0" fontId="7" fillId="0" borderId="9" xfId="0" applyFont="1" applyBorder="1"/>
    <xf numFmtId="171" fontId="7" fillId="5" borderId="1" xfId="0" applyNumberFormat="1" applyFont="1" applyFill="1" applyBorder="1" applyAlignment="1">
      <alignment horizontal="center"/>
    </xf>
    <xf numFmtId="171" fontId="7" fillId="5" borderId="0" xfId="0" applyNumberFormat="1" applyFont="1" applyFill="1" applyAlignment="1">
      <alignment horizontal="center"/>
    </xf>
    <xf numFmtId="171" fontId="7" fillId="5" borderId="2" xfId="0" applyNumberFormat="1" applyFont="1" applyFill="1" applyBorder="1" applyAlignment="1">
      <alignment horizontal="center"/>
    </xf>
    <xf numFmtId="0" fontId="4" fillId="3" borderId="3" xfId="0" applyFont="1" applyFill="1" applyBorder="1" applyAlignment="1">
      <alignment vertical="top"/>
    </xf>
    <xf numFmtId="0" fontId="0" fillId="0" borderId="3" xfId="0" applyBorder="1" applyAlignment="1">
      <alignment vertical="top"/>
    </xf>
    <xf numFmtId="0" fontId="4" fillId="0" borderId="23" xfId="0" applyFont="1" applyBorder="1"/>
    <xf numFmtId="0" fontId="0" fillId="0" borderId="21" xfId="0" applyBorder="1"/>
    <xf numFmtId="0" fontId="1" fillId="2" borderId="4" xfId="0" applyFont="1" applyFill="1" applyBorder="1" applyAlignment="1">
      <alignment horizontal="left"/>
    </xf>
    <xf numFmtId="0" fontId="1" fillId="2" borderId="19" xfId="0" applyFont="1" applyFill="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0" fillId="0" borderId="11" xfId="0" applyBorder="1"/>
    <xf numFmtId="44" fontId="0" fillId="0" borderId="12" xfId="6" applyFont="1" applyFill="1" applyBorder="1"/>
    <xf numFmtId="175" fontId="0" fillId="0" borderId="12" xfId="6" applyNumberFormat="1" applyFont="1" applyFill="1" applyBorder="1"/>
    <xf numFmtId="2" fontId="0" fillId="0" borderId="12" xfId="6" applyNumberFormat="1" applyFont="1" applyFill="1" applyBorder="1"/>
    <xf numFmtId="44" fontId="0" fillId="0" borderId="12" xfId="0" applyNumberFormat="1" applyBorder="1"/>
    <xf numFmtId="173" fontId="0" fillId="0" borderId="12" xfId="0" applyNumberFormat="1" applyBorder="1"/>
    <xf numFmtId="173" fontId="0" fillId="0" borderId="12" xfId="6" applyNumberFormat="1" applyFont="1" applyFill="1" applyBorder="1"/>
    <xf numFmtId="44" fontId="0" fillId="0" borderId="41" xfId="6" applyFont="1" applyFill="1" applyBorder="1"/>
    <xf numFmtId="0" fontId="0" fillId="0" borderId="11" xfId="0" applyBorder="1" applyAlignment="1">
      <alignment vertical="center"/>
    </xf>
    <xf numFmtId="0" fontId="0" fillId="5" borderId="12" xfId="0" applyFill="1" applyBorder="1"/>
    <xf numFmtId="6" fontId="0" fillId="0" borderId="0" xfId="0" applyNumberFormat="1"/>
    <xf numFmtId="0" fontId="1" fillId="2" borderId="12" xfId="0" applyFont="1" applyFill="1" applyBorder="1" applyAlignment="1">
      <alignment horizontal="center"/>
    </xf>
    <xf numFmtId="0" fontId="1" fillId="2" borderId="12" xfId="0" applyFont="1" applyFill="1" applyBorder="1" applyAlignment="1">
      <alignment horizontal="center" wrapText="1"/>
    </xf>
    <xf numFmtId="0" fontId="1" fillId="0" borderId="12" xfId="0" applyFont="1" applyBorder="1" applyAlignment="1">
      <alignment horizontal="center"/>
    </xf>
    <xf numFmtId="0" fontId="0" fillId="0" borderId="12" xfId="0" applyBorder="1" applyAlignment="1">
      <alignment vertical="center"/>
    </xf>
    <xf numFmtId="0" fontId="1" fillId="2" borderId="12" xfId="0" applyFont="1" applyFill="1" applyBorder="1"/>
    <xf numFmtId="0" fontId="0" fillId="0" borderId="19" xfId="0" applyBorder="1"/>
    <xf numFmtId="0" fontId="0" fillId="0" borderId="19" xfId="0" applyBorder="1" applyAlignment="1">
      <alignment horizontal="center" wrapText="1"/>
    </xf>
    <xf numFmtId="173" fontId="0" fillId="3" borderId="12" xfId="0" applyNumberFormat="1" applyFill="1" applyBorder="1"/>
    <xf numFmtId="173" fontId="0" fillId="0" borderId="19" xfId="0" applyNumberFormat="1" applyBorder="1"/>
    <xf numFmtId="173" fontId="0" fillId="5" borderId="19" xfId="0" applyNumberFormat="1" applyFill="1" applyBorder="1"/>
    <xf numFmtId="44" fontId="0" fillId="0" borderId="19" xfId="0" applyNumberFormat="1" applyBorder="1"/>
    <xf numFmtId="0" fontId="0" fillId="0" borderId="46" xfId="0" applyBorder="1"/>
    <xf numFmtId="0" fontId="19" fillId="0" borderId="0" xfId="0" applyFont="1"/>
    <xf numFmtId="0" fontId="19" fillId="0" borderId="19" xfId="0" applyFont="1" applyBorder="1" applyAlignment="1">
      <alignment horizontal="center" wrapText="1"/>
    </xf>
    <xf numFmtId="173" fontId="19" fillId="3" borderId="12" xfId="0" applyNumberFormat="1" applyFont="1" applyFill="1" applyBorder="1"/>
    <xf numFmtId="173" fontId="19" fillId="0" borderId="19" xfId="0" applyNumberFormat="1" applyFont="1" applyBorder="1"/>
    <xf numFmtId="173" fontId="19" fillId="5" borderId="19" xfId="0" applyNumberFormat="1" applyFont="1" applyFill="1" applyBorder="1"/>
    <xf numFmtId="0" fontId="19" fillId="0" borderId="46" xfId="0" applyFont="1" applyBorder="1"/>
    <xf numFmtId="0" fontId="19" fillId="0" borderId="12" xfId="0" applyFont="1" applyBorder="1"/>
    <xf numFmtId="3" fontId="22" fillId="0" borderId="9" xfId="0" applyNumberFormat="1" applyFont="1" applyBorder="1" applyAlignment="1">
      <alignment horizontal="center"/>
    </xf>
    <xf numFmtId="0" fontId="30" fillId="0" borderId="0" xfId="0" applyFont="1" applyAlignment="1">
      <alignment horizontal="center"/>
    </xf>
    <xf numFmtId="2" fontId="31" fillId="0" borderId="0" xfId="0" applyNumberFormat="1" applyFont="1"/>
    <xf numFmtId="2" fontId="31" fillId="0" borderId="0" xfId="0" applyNumberFormat="1" applyFont="1" applyAlignment="1">
      <alignment horizontal="left" vertical="top"/>
    </xf>
    <xf numFmtId="164" fontId="31" fillId="5" borderId="50" xfId="0" applyNumberFormat="1" applyFont="1" applyFill="1" applyBorder="1"/>
    <xf numFmtId="164" fontId="31" fillId="5" borderId="51" xfId="0" applyNumberFormat="1" applyFont="1" applyFill="1" applyBorder="1"/>
    <xf numFmtId="1" fontId="31" fillId="5" borderId="0" xfId="0" applyNumberFormat="1" applyFont="1" applyFill="1" applyBorder="1"/>
    <xf numFmtId="164" fontId="31" fillId="5" borderId="28" xfId="0" applyNumberFormat="1" applyFont="1" applyFill="1" applyBorder="1"/>
    <xf numFmtId="164" fontId="31" fillId="5" borderId="3" xfId="0" applyNumberFormat="1" applyFont="1" applyFill="1" applyBorder="1"/>
    <xf numFmtId="164" fontId="31" fillId="5" borderId="53" xfId="0" applyNumberFormat="1" applyFont="1" applyFill="1" applyBorder="1"/>
    <xf numFmtId="165" fontId="31" fillId="5" borderId="3" xfId="0" applyNumberFormat="1" applyFont="1" applyFill="1" applyBorder="1"/>
    <xf numFmtId="0" fontId="6" fillId="2" borderId="0" xfId="0" applyFont="1" applyFill="1" applyAlignment="1">
      <alignment horizontal="center"/>
    </xf>
    <xf numFmtId="176" fontId="7" fillId="0" borderId="0" xfId="0" applyNumberFormat="1" applyFont="1"/>
    <xf numFmtId="164" fontId="31" fillId="5" borderId="0" xfId="0" applyNumberFormat="1" applyFont="1" applyFill="1" applyBorder="1"/>
    <xf numFmtId="0" fontId="1" fillId="0" borderId="0" xfId="0" applyFont="1"/>
    <xf numFmtId="0" fontId="0" fillId="0" borderId="0" xfId="0" applyFont="1"/>
    <xf numFmtId="0" fontId="0" fillId="3" borderId="0" xfId="0" applyFont="1" applyFill="1"/>
    <xf numFmtId="0" fontId="0" fillId="0" borderId="0" xfId="0" applyFont="1" applyAlignment="1">
      <alignment horizontal="left" vertical="top"/>
    </xf>
    <xf numFmtId="0" fontId="32" fillId="0" borderId="0" xfId="3" applyFont="1"/>
    <xf numFmtId="0" fontId="13" fillId="10" borderId="33" xfId="3" applyFill="1" applyBorder="1"/>
    <xf numFmtId="9" fontId="13" fillId="0" borderId="0" xfId="5" applyFont="1"/>
    <xf numFmtId="0" fontId="5" fillId="0" borderId="46" xfId="0" applyFont="1" applyBorder="1"/>
    <xf numFmtId="164" fontId="7" fillId="0" borderId="0" xfId="0" applyNumberFormat="1" applyFont="1" applyAlignment="1">
      <alignment horizontal="right"/>
    </xf>
    <xf numFmtId="164" fontId="33" fillId="0" borderId="54" xfId="0" applyNumberFormat="1" applyFont="1" applyBorder="1" applyAlignment="1">
      <alignment horizontal="right" vertical="top" wrapText="1"/>
    </xf>
    <xf numFmtId="164" fontId="7" fillId="5" borderId="0" xfId="0" applyNumberFormat="1" applyFont="1" applyFill="1" applyAlignment="1">
      <alignment horizontal="right"/>
    </xf>
    <xf numFmtId="1" fontId="7" fillId="5" borderId="0" xfId="0" applyNumberFormat="1" applyFont="1" applyFill="1" applyAlignment="1">
      <alignment horizontal="right"/>
    </xf>
    <xf numFmtId="164" fontId="31" fillId="5" borderId="12" xfId="0" applyNumberFormat="1" applyFont="1" applyFill="1" applyBorder="1" applyAlignment="1">
      <alignment horizontal="right"/>
    </xf>
    <xf numFmtId="0" fontId="30" fillId="5" borderId="4" xfId="0" applyFont="1" applyFill="1" applyBorder="1"/>
    <xf numFmtId="164" fontId="31" fillId="5" borderId="5" xfId="0" applyNumberFormat="1" applyFont="1" applyFill="1" applyBorder="1" applyAlignment="1">
      <alignment horizontal="right"/>
    </xf>
    <xf numFmtId="164" fontId="31" fillId="5" borderId="7" xfId="0" applyNumberFormat="1" applyFont="1" applyFill="1" applyBorder="1"/>
    <xf numFmtId="0" fontId="30" fillId="5" borderId="11" xfId="0" applyFont="1" applyFill="1" applyBorder="1"/>
    <xf numFmtId="164" fontId="31" fillId="5" borderId="14" xfId="0" applyNumberFormat="1" applyFont="1" applyFill="1" applyBorder="1"/>
    <xf numFmtId="0" fontId="30" fillId="5" borderId="15" xfId="0" applyFont="1" applyFill="1" applyBorder="1"/>
    <xf numFmtId="164" fontId="31" fillId="5" borderId="16" xfId="0" applyNumberFormat="1" applyFont="1" applyFill="1" applyBorder="1" applyAlignment="1">
      <alignment horizontal="right"/>
    </xf>
    <xf numFmtId="164" fontId="31" fillId="5" borderId="18" xfId="0" applyNumberFormat="1" applyFont="1" applyFill="1" applyBorder="1" applyAlignment="1">
      <alignment horizontal="right"/>
    </xf>
    <xf numFmtId="164" fontId="19" fillId="5" borderId="39" xfId="0" applyNumberFormat="1" applyFont="1" applyFill="1" applyBorder="1" applyAlignment="1">
      <alignment horizontal="center"/>
    </xf>
    <xf numFmtId="164" fontId="19" fillId="5" borderId="35" xfId="0" applyNumberFormat="1" applyFont="1" applyFill="1" applyBorder="1" applyAlignment="1">
      <alignment horizontal="center"/>
    </xf>
    <xf numFmtId="0" fontId="30" fillId="5" borderId="49" xfId="0" applyFont="1" applyFill="1" applyBorder="1"/>
    <xf numFmtId="0" fontId="30" fillId="5" borderId="52" xfId="0" applyFont="1" applyFill="1" applyBorder="1"/>
    <xf numFmtId="0" fontId="30" fillId="5" borderId="20" xfId="0" applyFont="1" applyFill="1" applyBorder="1"/>
    <xf numFmtId="164" fontId="31" fillId="5" borderId="21" xfId="0" applyNumberFormat="1" applyFont="1" applyFill="1" applyBorder="1"/>
    <xf numFmtId="164" fontId="31" fillId="5" borderId="21" xfId="0" applyNumberFormat="1" applyFont="1" applyFill="1" applyBorder="1" applyAlignment="1">
      <alignment vertical="center"/>
    </xf>
    <xf numFmtId="164" fontId="31" fillId="5" borderId="22" xfId="0" applyNumberFormat="1" applyFont="1" applyFill="1" applyBorder="1"/>
    <xf numFmtId="0" fontId="30" fillId="5" borderId="49" xfId="0" applyFont="1" applyFill="1" applyBorder="1" applyAlignment="1">
      <alignment horizontal="left" vertical="top"/>
    </xf>
    <xf numFmtId="0" fontId="30" fillId="5" borderId="23" xfId="0" applyFont="1" applyFill="1" applyBorder="1" applyAlignment="1">
      <alignment horizontal="left" vertical="top"/>
    </xf>
    <xf numFmtId="0" fontId="30" fillId="5" borderId="23" xfId="0" applyFont="1" applyFill="1" applyBorder="1"/>
    <xf numFmtId="164" fontId="0" fillId="2" borderId="13" xfId="0" applyNumberFormat="1" applyFill="1" applyBorder="1" applyAlignment="1">
      <alignment vertical="center"/>
    </xf>
    <xf numFmtId="164" fontId="0" fillId="3" borderId="42" xfId="0" applyNumberFormat="1" applyFill="1" applyBorder="1" applyAlignment="1">
      <alignment vertical="center"/>
    </xf>
    <xf numFmtId="164" fontId="0" fillId="3" borderId="55" xfId="0" applyNumberFormat="1" applyFill="1" applyBorder="1" applyAlignment="1">
      <alignment vertical="center"/>
    </xf>
    <xf numFmtId="164" fontId="0" fillId="3" borderId="43" xfId="0" applyNumberFormat="1" applyFill="1" applyBorder="1" applyAlignment="1">
      <alignment vertical="center"/>
    </xf>
    <xf numFmtId="164" fontId="0" fillId="3" borderId="27" xfId="0" applyNumberFormat="1" applyFill="1" applyBorder="1" applyAlignment="1">
      <alignment vertical="center"/>
    </xf>
    <xf numFmtId="164" fontId="19" fillId="5" borderId="20" xfId="0" applyNumberFormat="1" applyFont="1" applyFill="1" applyBorder="1" applyAlignment="1">
      <alignment vertical="center"/>
    </xf>
    <xf numFmtId="164" fontId="19" fillId="5" borderId="56" xfId="0" applyNumberFormat="1" applyFont="1" applyFill="1" applyBorder="1" applyAlignment="1">
      <alignment vertical="center"/>
    </xf>
    <xf numFmtId="164" fontId="19" fillId="5" borderId="48" xfId="0" applyNumberFormat="1" applyFont="1" applyFill="1" applyBorder="1" applyAlignment="1">
      <alignment vertical="center"/>
    </xf>
    <xf numFmtId="0" fontId="6" fillId="6" borderId="42" xfId="0" applyFont="1" applyFill="1" applyBorder="1"/>
    <xf numFmtId="0" fontId="6" fillId="6" borderId="33" xfId="0" applyFont="1" applyFill="1" applyBorder="1" applyAlignment="1">
      <alignment horizontal="center"/>
    </xf>
    <xf numFmtId="165" fontId="31" fillId="5" borderId="36" xfId="0" applyNumberFormat="1" applyFont="1" applyFill="1" applyBorder="1" applyAlignment="1">
      <alignment horizontal="center"/>
    </xf>
    <xf numFmtId="165" fontId="31" fillId="5" borderId="35" xfId="0" applyNumberFormat="1" applyFont="1" applyFill="1" applyBorder="1" applyAlignment="1">
      <alignment horizontal="center"/>
    </xf>
    <xf numFmtId="165" fontId="31" fillId="5" borderId="39" xfId="0" applyNumberFormat="1" applyFont="1" applyFill="1" applyBorder="1" applyAlignment="1">
      <alignment horizontal="center"/>
    </xf>
    <xf numFmtId="0" fontId="30" fillId="5" borderId="34" xfId="0" applyFont="1" applyFill="1" applyBorder="1"/>
    <xf numFmtId="0" fontId="30" fillId="5" borderId="8" xfId="0" applyFont="1" applyFill="1" applyBorder="1"/>
    <xf numFmtId="0" fontId="30" fillId="5" borderId="29" xfId="0" applyFont="1" applyFill="1" applyBorder="1"/>
    <xf numFmtId="0" fontId="27" fillId="2" borderId="4" xfId="0" applyFont="1" applyFill="1" applyBorder="1"/>
    <xf numFmtId="0" fontId="27" fillId="2" borderId="7" xfId="0" applyFont="1" applyFill="1" applyBorder="1" applyAlignment="1">
      <alignment horizontal="center" wrapText="1"/>
    </xf>
    <xf numFmtId="0" fontId="19" fillId="0" borderId="26" xfId="0" applyFont="1" applyBorder="1"/>
    <xf numFmtId="0" fontId="19" fillId="0" borderId="27" xfId="0" applyFont="1" applyBorder="1" applyAlignment="1">
      <alignment horizontal="center" wrapText="1"/>
    </xf>
    <xf numFmtId="44" fontId="19" fillId="0" borderId="27" xfId="0" applyNumberFormat="1" applyFont="1" applyBorder="1"/>
    <xf numFmtId="0" fontId="19" fillId="0" borderId="11" xfId="0" applyFont="1" applyBorder="1"/>
    <xf numFmtId="44" fontId="19" fillId="0" borderId="14" xfId="0" applyNumberFormat="1" applyFont="1" applyBorder="1"/>
    <xf numFmtId="0" fontId="19" fillId="0" borderId="15" xfId="0" applyFont="1" applyBorder="1"/>
    <xf numFmtId="173" fontId="19" fillId="3" borderId="16" xfId="0" applyNumberFormat="1" applyFont="1" applyFill="1" applyBorder="1"/>
    <xf numFmtId="173" fontId="19" fillId="0" borderId="57" xfId="0" applyNumberFormat="1" applyFont="1" applyBorder="1"/>
    <xf numFmtId="173" fontId="19" fillId="5" borderId="57" xfId="0" applyNumberFormat="1" applyFont="1" applyFill="1" applyBorder="1"/>
    <xf numFmtId="44" fontId="19" fillId="0" borderId="18" xfId="0" applyNumberFormat="1" applyFont="1" applyBorder="1"/>
    <xf numFmtId="0" fontId="7" fillId="0" borderId="0" xfId="0" applyFont="1" applyBorder="1"/>
    <xf numFmtId="174" fontId="30" fillId="5" borderId="60" xfId="2" applyNumberFormat="1" applyFont="1" applyFill="1" applyBorder="1" applyAlignment="1">
      <alignment horizontal="center"/>
    </xf>
    <xf numFmtId="170" fontId="30" fillId="5" borderId="61" xfId="0" applyNumberFormat="1" applyFont="1" applyFill="1" applyBorder="1" applyAlignment="1">
      <alignment horizontal="center"/>
    </xf>
    <xf numFmtId="174" fontId="30" fillId="5" borderId="62" xfId="2" applyNumberFormat="1" applyFont="1" applyFill="1" applyBorder="1" applyAlignment="1">
      <alignment horizontal="center"/>
    </xf>
    <xf numFmtId="170" fontId="30" fillId="5" borderId="63" xfId="0" applyNumberFormat="1" applyFont="1" applyFill="1" applyBorder="1" applyAlignment="1">
      <alignment horizontal="center"/>
    </xf>
    <xf numFmtId="6" fontId="7" fillId="0" borderId="0" xfId="0" applyNumberFormat="1" applyFont="1" applyBorder="1" applyAlignment="1">
      <alignment horizontal="center"/>
    </xf>
    <xf numFmtId="0" fontId="30" fillId="5" borderId="4" xfId="0" applyFont="1" applyFill="1" applyBorder="1" applyAlignment="1">
      <alignment horizontal="left"/>
    </xf>
    <xf numFmtId="0" fontId="30" fillId="5" borderId="36" xfId="0" applyFont="1" applyFill="1" applyBorder="1" applyAlignment="1">
      <alignment horizontal="center"/>
    </xf>
    <xf numFmtId="0" fontId="31" fillId="5" borderId="11" xfId="0" applyFont="1" applyFill="1" applyBorder="1"/>
    <xf numFmtId="164" fontId="31" fillId="5" borderId="35" xfId="0" applyNumberFormat="1" applyFont="1" applyFill="1" applyBorder="1" applyAlignment="1">
      <alignment horizontal="center"/>
    </xf>
    <xf numFmtId="0" fontId="31" fillId="5" borderId="35" xfId="0" applyFont="1" applyFill="1" applyBorder="1" applyAlignment="1">
      <alignment horizontal="center"/>
    </xf>
    <xf numFmtId="0" fontId="31" fillId="5" borderId="15" xfId="0" applyFont="1" applyFill="1" applyBorder="1"/>
    <xf numFmtId="166" fontId="31" fillId="5" borderId="39" xfId="1" applyNumberFormat="1" applyFont="1" applyFill="1" applyBorder="1" applyAlignment="1">
      <alignment horizontal="center"/>
    </xf>
    <xf numFmtId="165" fontId="0" fillId="0" borderId="1" xfId="0" applyNumberFormat="1" applyBorder="1" applyAlignment="1">
      <alignment horizontal="center"/>
    </xf>
    <xf numFmtId="165" fontId="0" fillId="0" borderId="0" xfId="0" applyNumberFormat="1" applyBorder="1" applyAlignment="1">
      <alignment horizontal="center"/>
    </xf>
    <xf numFmtId="165" fontId="22" fillId="0" borderId="2" xfId="0" applyNumberFormat="1" applyFont="1" applyBorder="1" applyAlignment="1">
      <alignment horizontal="center"/>
    </xf>
    <xf numFmtId="165" fontId="2" fillId="0" borderId="9" xfId="0" applyNumberFormat="1" applyFont="1" applyBorder="1" applyAlignment="1">
      <alignment horizontal="center"/>
    </xf>
    <xf numFmtId="165" fontId="2" fillId="0" borderId="2" xfId="0" applyNumberFormat="1" applyFont="1" applyBorder="1" applyAlignment="1">
      <alignment horizontal="center"/>
    </xf>
    <xf numFmtId="165" fontId="22" fillId="0" borderId="9" xfId="0" applyNumberFormat="1" applyFont="1" applyBorder="1" applyAlignment="1">
      <alignment horizontal="center"/>
    </xf>
    <xf numFmtId="169" fontId="22" fillId="0" borderId="9" xfId="0" applyNumberFormat="1" applyFont="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164" fontId="0" fillId="0" borderId="0" xfId="0" applyNumberFormat="1" applyBorder="1" applyAlignment="1">
      <alignment horizontal="center"/>
    </xf>
    <xf numFmtId="164" fontId="22" fillId="0" borderId="2" xfId="0" applyNumberFormat="1" applyFont="1" applyBorder="1" applyAlignment="1">
      <alignment horizontal="center"/>
    </xf>
    <xf numFmtId="164" fontId="2" fillId="0" borderId="2" xfId="0" applyNumberFormat="1" applyFont="1" applyBorder="1" applyAlignment="1">
      <alignment horizontal="center"/>
    </xf>
    <xf numFmtId="164" fontId="22" fillId="0" borderId="9" xfId="0" applyNumberFormat="1" applyFont="1" applyBorder="1" applyAlignment="1">
      <alignment horizontal="center"/>
    </xf>
    <xf numFmtId="170" fontId="22" fillId="0" borderId="9" xfId="0" applyNumberFormat="1" applyFont="1" applyBorder="1" applyAlignment="1">
      <alignment horizontal="center"/>
    </xf>
    <xf numFmtId="164" fontId="2" fillId="0" borderId="9" xfId="0" applyNumberFormat="1" applyFont="1" applyBorder="1" applyAlignment="1">
      <alignment horizontal="center"/>
    </xf>
    <xf numFmtId="165" fontId="34" fillId="0" borderId="2" xfId="0" applyNumberFormat="1" applyFont="1" applyBorder="1" applyAlignment="1">
      <alignment horizontal="center"/>
    </xf>
    <xf numFmtId="0" fontId="6" fillId="2" borderId="43" xfId="0" applyFont="1" applyFill="1" applyBorder="1" applyAlignment="1">
      <alignment horizontal="center" wrapText="1"/>
    </xf>
    <xf numFmtId="0" fontId="7" fillId="5" borderId="12" xfId="0" applyFont="1" applyFill="1" applyBorder="1" applyAlignment="1">
      <alignment horizontal="center"/>
    </xf>
    <xf numFmtId="3" fontId="7" fillId="0" borderId="12" xfId="0" applyNumberFormat="1" applyFont="1" applyBorder="1" applyAlignment="1">
      <alignment horizontal="center"/>
    </xf>
    <xf numFmtId="6" fontId="7" fillId="0" borderId="12" xfId="0" applyNumberFormat="1" applyFont="1" applyBorder="1" applyAlignment="1">
      <alignment horizontal="center"/>
    </xf>
    <xf numFmtId="6" fontId="6" fillId="0" borderId="12" xfId="0" applyNumberFormat="1" applyFont="1" applyBorder="1" applyAlignment="1">
      <alignment horizontal="center"/>
    </xf>
    <xf numFmtId="174" fontId="6" fillId="0" borderId="12" xfId="0" applyNumberFormat="1" applyFont="1" applyBorder="1" applyAlignment="1">
      <alignment horizontal="center"/>
    </xf>
    <xf numFmtId="174" fontId="30" fillId="5" borderId="12" xfId="2" applyNumberFormat="1" applyFont="1" applyFill="1" applyBorder="1" applyAlignment="1">
      <alignment horizontal="center"/>
    </xf>
    <xf numFmtId="170" fontId="30" fillId="5" borderId="12" xfId="0" applyNumberFormat="1" applyFont="1" applyFill="1" applyBorder="1" applyAlignment="1">
      <alignment horizontal="center"/>
    </xf>
    <xf numFmtId="0" fontId="0" fillId="3" borderId="0" xfId="0" applyFill="1" applyAlignment="1">
      <alignment horizontal="center"/>
    </xf>
    <xf numFmtId="0" fontId="1" fillId="3" borderId="50" xfId="0" applyFont="1" applyFill="1" applyBorder="1" applyAlignment="1">
      <alignment horizontal="center"/>
    </xf>
    <xf numFmtId="0" fontId="0" fillId="3" borderId="51" xfId="0" applyFill="1" applyBorder="1" applyAlignment="1">
      <alignment horizontal="center"/>
    </xf>
    <xf numFmtId="165" fontId="0" fillId="3" borderId="12" xfId="0" applyNumberFormat="1" applyFill="1" applyBorder="1" applyAlignment="1">
      <alignment horizontal="center"/>
    </xf>
    <xf numFmtId="0" fontId="0" fillId="3" borderId="12" xfId="0" applyFill="1" applyBorder="1" applyAlignment="1">
      <alignment horizontal="center"/>
    </xf>
    <xf numFmtId="0" fontId="0" fillId="0" borderId="12" xfId="0" applyFill="1" applyBorder="1" applyAlignment="1">
      <alignment horizontal="center"/>
    </xf>
    <xf numFmtId="164" fontId="0" fillId="3" borderId="12" xfId="0" applyNumberFormat="1" applyFill="1" applyBorder="1" applyAlignment="1">
      <alignment horizontal="center"/>
    </xf>
    <xf numFmtId="167" fontId="0" fillId="3" borderId="12" xfId="5" applyNumberFormat="1" applyFont="1" applyFill="1" applyBorder="1" applyAlignment="1">
      <alignment horizontal="center"/>
    </xf>
    <xf numFmtId="0" fontId="4" fillId="3" borderId="49" xfId="0" applyFont="1" applyFill="1" applyBorder="1"/>
    <xf numFmtId="0" fontId="0" fillId="3" borderId="50" xfId="0" applyFill="1" applyBorder="1" applyAlignment="1">
      <alignment horizontal="center"/>
    </xf>
    <xf numFmtId="0" fontId="1" fillId="0" borderId="11" xfId="0" applyFont="1" applyBorder="1"/>
    <xf numFmtId="0" fontId="1" fillId="0" borderId="14" xfId="0" applyFont="1" applyBorder="1" applyAlignment="1">
      <alignment horizontal="center"/>
    </xf>
    <xf numFmtId="165" fontId="0" fillId="3" borderId="14" xfId="0" applyNumberFormat="1" applyFill="1" applyBorder="1" applyAlignment="1">
      <alignment horizontal="center"/>
    </xf>
    <xf numFmtId="0" fontId="0" fillId="3" borderId="0" xfId="0" applyFill="1" applyBorder="1"/>
    <xf numFmtId="0" fontId="0" fillId="3" borderId="14" xfId="0" applyFill="1" applyBorder="1" applyAlignment="1">
      <alignment horizontal="center"/>
    </xf>
    <xf numFmtId="0" fontId="0" fillId="3" borderId="15" xfId="0" applyFill="1" applyBorder="1"/>
    <xf numFmtId="0" fontId="0" fillId="3" borderId="16" xfId="0" applyFill="1" applyBorder="1" applyAlignment="1">
      <alignment horizontal="center"/>
    </xf>
    <xf numFmtId="0" fontId="0" fillId="3" borderId="18" xfId="0" applyFill="1" applyBorder="1" applyAlignment="1">
      <alignment horizontal="center"/>
    </xf>
    <xf numFmtId="0" fontId="0" fillId="3" borderId="0" xfId="0" applyFill="1" applyBorder="1" applyAlignment="1">
      <alignment horizontal="center"/>
    </xf>
    <xf numFmtId="0" fontId="0" fillId="3" borderId="28" xfId="0" applyFill="1" applyBorder="1" applyAlignment="1">
      <alignment horizontal="center"/>
    </xf>
    <xf numFmtId="0" fontId="1" fillId="3" borderId="0" xfId="0" applyFont="1" applyFill="1" applyBorder="1"/>
    <xf numFmtId="8" fontId="22" fillId="0" borderId="9" xfId="0" applyNumberFormat="1" applyFont="1" applyBorder="1" applyAlignment="1">
      <alignment horizontal="center"/>
    </xf>
    <xf numFmtId="0" fontId="27" fillId="2" borderId="36" xfId="0" applyFont="1" applyFill="1" applyBorder="1" applyAlignment="1">
      <alignment horizontal="center" wrapText="1"/>
    </xf>
    <xf numFmtId="0" fontId="27" fillId="2" borderId="35" xfId="0" applyFont="1" applyFill="1" applyBorder="1" applyAlignment="1">
      <alignment horizontal="center"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31" xfId="0" applyFill="1" applyBorder="1" applyAlignment="1">
      <alignment horizontal="left" wrapText="1"/>
    </xf>
    <xf numFmtId="0" fontId="4" fillId="3" borderId="3" xfId="0" applyFont="1" applyFill="1" applyBorder="1" applyAlignment="1">
      <alignment wrapText="1"/>
    </xf>
    <xf numFmtId="0" fontId="0" fillId="0" borderId="3" xfId="0" applyBorder="1" applyAlignment="1">
      <alignment wrapText="1"/>
    </xf>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4" fillId="3" borderId="3" xfId="0" applyFont="1" applyFill="1" applyBorder="1" applyAlignment="1">
      <alignment horizontal="left" vertical="center" wrapText="1"/>
    </xf>
    <xf numFmtId="0" fontId="0" fillId="0" borderId="12" xfId="0" applyBorder="1" applyAlignment="1">
      <alignment horizont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12" xfId="0" applyBorder="1" applyAlignment="1">
      <alignment horizontal="left" wrapText="1"/>
    </xf>
    <xf numFmtId="0" fontId="1" fillId="2" borderId="12" xfId="0" applyFont="1" applyFill="1" applyBorder="1" applyAlignment="1">
      <alignment horizontal="center" wrapText="1"/>
    </xf>
    <xf numFmtId="0" fontId="27" fillId="2" borderId="5" xfId="0" applyFont="1" applyFill="1" applyBorder="1" applyAlignment="1">
      <alignment horizontal="center" wrapText="1"/>
    </xf>
    <xf numFmtId="0" fontId="30" fillId="2" borderId="59" xfId="0" applyFont="1" applyFill="1" applyBorder="1" applyAlignment="1">
      <alignment horizontal="center" wrapText="1"/>
    </xf>
    <xf numFmtId="0" fontId="30" fillId="2" borderId="27"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13" xfId="0" applyFont="1" applyFill="1" applyBorder="1" applyAlignment="1">
      <alignment horizontal="center"/>
    </xf>
    <xf numFmtId="0" fontId="6" fillId="2" borderId="9" xfId="0" applyFont="1" applyFill="1" applyBorder="1" applyAlignment="1">
      <alignment horizontal="center"/>
    </xf>
    <xf numFmtId="0" fontId="6" fillId="2" borderId="41" xfId="0" applyFont="1" applyFill="1" applyBorder="1" applyAlignment="1">
      <alignment horizontal="center"/>
    </xf>
    <xf numFmtId="0" fontId="6" fillId="2" borderId="42" xfId="0" applyFont="1" applyFill="1" applyBorder="1" applyAlignment="1">
      <alignment horizontal="center" wrapText="1"/>
    </xf>
    <xf numFmtId="0" fontId="6" fillId="2" borderId="43" xfId="0" applyFont="1" applyFill="1" applyBorder="1" applyAlignment="1">
      <alignment horizontal="center" wrapText="1"/>
    </xf>
    <xf numFmtId="0" fontId="30" fillId="2" borderId="58" xfId="0" applyFont="1" applyFill="1" applyBorder="1" applyAlignment="1">
      <alignment horizontal="center" wrapText="1"/>
    </xf>
    <xf numFmtId="0" fontId="30" fillId="2" borderId="26" xfId="0" applyFont="1" applyFill="1" applyBorder="1" applyAlignment="1">
      <alignment horizontal="center" wrapText="1"/>
    </xf>
    <xf numFmtId="0" fontId="4" fillId="3" borderId="2" xfId="0" applyFont="1" applyFill="1" applyBorder="1" applyAlignment="1">
      <alignment wrapText="1"/>
    </xf>
    <xf numFmtId="0" fontId="0" fillId="0" borderId="2" xfId="0" applyBorder="1" applyAlignment="1">
      <alignment wrapText="1"/>
    </xf>
    <xf numFmtId="0" fontId="0" fillId="3" borderId="11" xfId="0" applyFill="1" applyBorder="1" applyAlignment="1">
      <alignment horizontal="center"/>
    </xf>
    <xf numFmtId="0" fontId="0" fillId="3" borderId="12" xfId="0" applyFill="1" applyBorder="1" applyAlignment="1">
      <alignment horizontal="center"/>
    </xf>
  </cellXfs>
  <cellStyles count="7">
    <cellStyle name="Comma" xfId="1" builtinId="3"/>
    <cellStyle name="Currency" xfId="2" builtinId="4"/>
    <cellStyle name="Currency 3" xfId="6" xr:uid="{B4079E32-022C-40EB-AFDC-EC2989736EFB}"/>
    <cellStyle name="Hyperlink" xfId="4" builtinId="8"/>
    <cellStyle name="Normal" xfId="0" builtinId="0"/>
    <cellStyle name="Normal 2" xfId="3" xr:uid="{CAA67AC4-4998-4E1A-8072-82ED286E9A4B}"/>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2175510</xdr:colOff>
          <xdr:row>2</xdr:row>
          <xdr:rowOff>167640</xdr:rowOff>
        </xdr:from>
        <xdr:to>
          <xdr:col>7</xdr:col>
          <xdr:colOff>213360</xdr:colOff>
          <xdr:row>4</xdr:row>
          <xdr:rowOff>45720</xdr:rowOff>
        </xdr:to>
        <xdr:sp macro="" textlink="">
          <xdr:nvSpPr>
            <xdr:cNvPr id="6145" name="Control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2175510</xdr:colOff>
          <xdr:row>2</xdr:row>
          <xdr:rowOff>167640</xdr:rowOff>
        </xdr:from>
        <xdr:to>
          <xdr:col>7</xdr:col>
          <xdr:colOff>213360</xdr:colOff>
          <xdr:row>4</xdr:row>
          <xdr:rowOff>45720</xdr:rowOff>
        </xdr:to>
        <xdr:sp macro="" textlink="">
          <xdr:nvSpPr>
            <xdr:cNvPr id="6146" name="Control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2175510</xdr:colOff>
          <xdr:row>2</xdr:row>
          <xdr:rowOff>167640</xdr:rowOff>
        </xdr:from>
        <xdr:to>
          <xdr:col>7</xdr:col>
          <xdr:colOff>213360</xdr:colOff>
          <xdr:row>4</xdr:row>
          <xdr:rowOff>45720</xdr:rowOff>
        </xdr:to>
        <xdr:sp macro="" textlink="">
          <xdr:nvSpPr>
            <xdr:cNvPr id="6147" name="Control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2175510</xdr:colOff>
          <xdr:row>2</xdr:row>
          <xdr:rowOff>167640</xdr:rowOff>
        </xdr:from>
        <xdr:to>
          <xdr:col>7</xdr:col>
          <xdr:colOff>213360</xdr:colOff>
          <xdr:row>4</xdr:row>
          <xdr:rowOff>45720</xdr:rowOff>
        </xdr:to>
        <xdr:sp macro="" textlink="">
          <xdr:nvSpPr>
            <xdr:cNvPr id="6148" name="Control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Technical_Record\0215102.004.004%20BMP%20costing%20August%202019\Ag%20BMP%20Unit%20Costs_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lspice\ehearchivestage\0215703-ChBay_BMP$\Deliverables\Urban%20BMP%20Costs%20Details%20RTI%20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lspice\ehearchivestage\0215703-ChBay_BMP$\Deliverables\Ag%20BMP%20Costs_Details%20RTI%20revised%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Projects\0215703-ChBay_BMP$\Technical_Record\Urban%20BMP%20Unit%20Costs%20gvh%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tifile02\ehe\Projects\0215703-ChBay_BMP$\Technical_Record\Ag%20BMP_Costs_Details%20RTI%20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tifile02\ehe\Projects\0215703-ChBay_BMP$\Technical_Record\Ag%20BMPs\Ag%20BMP_Costs%20OYST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tifile02\ehe\Projects\0215102-ATTAIN_EPAOW_(Opt4)\0215102.004.004-CBPO_SP15\Technical_Record\0215102.004.004%20BMP%20costing%20August%202019\Urban%20BMP%20Unit%20Costs%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ERD\GAIA\WA%200-20%20--%20Ches%20Bay%20WIP%20Costs\Ag%20BMP%20Costs\Ag%20BMP%20Unit%20Cos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llspice\ehearchivestage\ERD\GAIA\WA%200-20%20--%20Ches%20Bay%20WIP%20Costs\Urban%20BMP%20Costs\Urban%20BMP%20Unit%20Costs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Assumptions"/>
      <sheetName val="Alt Watering"/>
      <sheetName val="Ammonia Emission"/>
      <sheetName val="Animal Waste Mgmt"/>
      <sheetName val="Barnyard Runoff"/>
      <sheetName val="Capture and Reuse"/>
      <sheetName val="Carbon Seques"/>
      <sheetName val="Comm &amp; Small Grain CC"/>
      <sheetName val="Conservation Plan"/>
      <sheetName val="Conservation Tillage"/>
      <sheetName val="Cont No-Till"/>
      <sheetName val="Cover Crops"/>
      <sheetName val="Cropland Irrig. Mgmt"/>
      <sheetName val="Dairy Precision Feeding"/>
      <sheetName val="Decision Ag"/>
      <sheetName val="Enhanced Nutr Mgmt"/>
      <sheetName val="Forest Buffers"/>
      <sheetName val="Grass Buffers"/>
      <sheetName val="Horse Pasture Mgmt"/>
      <sheetName val="Land Retirement"/>
      <sheetName val="Liq. Manure Inj."/>
      <sheetName val="Loafing Lot Mgmt"/>
      <sheetName val="Manure Transport"/>
      <sheetName val="Mortality Comp"/>
      <sheetName val="NonUrban Stream Restoration"/>
      <sheetName val="Nutr Mgmt"/>
      <sheetName val="Phytase"/>
      <sheetName val=" Prescribed Intensive Grazing"/>
      <sheetName val="Prescribed Grazing"/>
      <sheetName val="Stream Access Control"/>
      <sheetName val="Tree Planting"/>
      <sheetName val="Water Control Structures"/>
      <sheetName val="Wetland Restoration"/>
      <sheetName val="Opportuniy Cost"/>
    </sheetNames>
    <sheetDataSet>
      <sheetData sheetId="0"/>
      <sheetData sheetId="1"/>
      <sheetData sheetId="2">
        <row r="3">
          <cell r="F3" t="str">
            <v>beef</v>
          </cell>
          <cell r="G3">
            <v>1.1399999999999999</v>
          </cell>
          <cell r="H3">
            <v>1</v>
          </cell>
        </row>
        <row r="4">
          <cell r="F4" t="str">
            <v>dairy</v>
          </cell>
          <cell r="G4">
            <v>0.74</v>
          </cell>
          <cell r="H4">
            <v>1</v>
          </cell>
        </row>
        <row r="5">
          <cell r="F5" t="str">
            <v>other cattle</v>
          </cell>
          <cell r="G5">
            <v>2.08</v>
          </cell>
          <cell r="H5">
            <v>1</v>
          </cell>
        </row>
        <row r="6">
          <cell r="F6" t="str">
            <v>swine</v>
          </cell>
          <cell r="G6">
            <v>9.09</v>
          </cell>
          <cell r="H6">
            <v>1</v>
          </cell>
        </row>
        <row r="7">
          <cell r="F7" t="str">
            <v>hogs and pigs for breeding</v>
          </cell>
          <cell r="G7">
            <v>2.67</v>
          </cell>
          <cell r="H7">
            <v>1</v>
          </cell>
        </row>
        <row r="8">
          <cell r="F8" t="str">
            <v>layer</v>
          </cell>
          <cell r="G8">
            <v>250</v>
          </cell>
          <cell r="H8">
            <v>1</v>
          </cell>
        </row>
        <row r="9">
          <cell r="F9" t="str">
            <v>pullets</v>
          </cell>
          <cell r="G9">
            <v>352.5</v>
          </cell>
          <cell r="H9">
            <v>1</v>
          </cell>
        </row>
        <row r="10">
          <cell r="F10" t="str">
            <v>broiler</v>
          </cell>
          <cell r="G10">
            <v>455</v>
          </cell>
          <cell r="H10">
            <v>1</v>
          </cell>
        </row>
        <row r="11">
          <cell r="F11" t="str">
            <v>turkey</v>
          </cell>
          <cell r="G11">
            <v>67</v>
          </cell>
          <cell r="H11">
            <v>1</v>
          </cell>
        </row>
        <row r="12">
          <cell r="F12" t="str">
            <v>horses</v>
          </cell>
          <cell r="G12">
            <v>1</v>
          </cell>
          <cell r="H12">
            <v>1</v>
          </cell>
        </row>
        <row r="13">
          <cell r="F13" t="str">
            <v>sheep</v>
          </cell>
          <cell r="G13">
            <v>10</v>
          </cell>
          <cell r="H13">
            <v>1</v>
          </cell>
        </row>
        <row r="14">
          <cell r="C14">
            <v>1.3416666666666666</v>
          </cell>
          <cell r="F14" t="str">
            <v>milk goats</v>
          </cell>
          <cell r="G14">
            <v>15.38</v>
          </cell>
          <cell r="H14">
            <v>1</v>
          </cell>
        </row>
        <row r="15">
          <cell r="F15" t="str">
            <v>angora goats</v>
          </cell>
          <cell r="G15">
            <v>15.38</v>
          </cell>
          <cell r="H15">
            <v>1</v>
          </cell>
        </row>
        <row r="16">
          <cell r="F16" t="str">
            <v>NULL</v>
          </cell>
          <cell r="G16">
            <v>0</v>
          </cell>
          <cell r="H16"/>
        </row>
        <row r="27">
          <cell r="A27">
            <v>0.05</v>
          </cell>
        </row>
      </sheetData>
      <sheetData sheetId="3">
        <row r="17">
          <cell r="D17">
            <v>29.507556147538754</v>
          </cell>
        </row>
      </sheetData>
      <sheetData sheetId="4">
        <row r="18">
          <cell r="B18">
            <v>45.621333333333332</v>
          </cell>
          <cell r="D18">
            <v>38.826666666666668</v>
          </cell>
          <cell r="E18">
            <v>45.621333333333347</v>
          </cell>
          <cell r="F18">
            <v>44.540010666666667</v>
          </cell>
          <cell r="G18">
            <v>36.782958510721251</v>
          </cell>
        </row>
      </sheetData>
      <sheetData sheetId="5">
        <row r="91">
          <cell r="C91">
            <v>194.2201161873231</v>
          </cell>
        </row>
        <row r="92">
          <cell r="C92">
            <v>71.623953832916513</v>
          </cell>
        </row>
        <row r="93">
          <cell r="C93">
            <v>169.70088371644178</v>
          </cell>
        </row>
      </sheetData>
      <sheetData sheetId="6">
        <row r="7">
          <cell r="F7">
            <v>433.54029424159972</v>
          </cell>
        </row>
        <row r="10">
          <cell r="F10">
            <v>446.4642596525959</v>
          </cell>
        </row>
        <row r="11">
          <cell r="F11">
            <v>822.43416251793974</v>
          </cell>
        </row>
        <row r="15">
          <cell r="F15">
            <v>567.47957213737845</v>
          </cell>
        </row>
      </sheetData>
      <sheetData sheetId="7">
        <row r="5">
          <cell r="B5">
            <v>971.28431224092492</v>
          </cell>
        </row>
      </sheetData>
      <sheetData sheetId="8">
        <row r="5">
          <cell r="B5">
            <v>18.289681201261864</v>
          </cell>
        </row>
      </sheetData>
      <sheetData sheetId="9">
        <row r="9">
          <cell r="B9">
            <v>23.333333333333336</v>
          </cell>
          <cell r="C9">
            <v>110</v>
          </cell>
          <cell r="D9">
            <v>66.666666666666671</v>
          </cell>
        </row>
      </sheetData>
      <sheetData sheetId="10">
        <row r="6">
          <cell r="B6">
            <v>1.9816166343144304</v>
          </cell>
        </row>
      </sheetData>
      <sheetData sheetId="11">
        <row r="3">
          <cell r="B3">
            <v>0</v>
          </cell>
        </row>
      </sheetData>
      <sheetData sheetId="12">
        <row r="3">
          <cell r="B3">
            <v>0</v>
          </cell>
        </row>
      </sheetData>
      <sheetData sheetId="13">
        <row r="24">
          <cell r="B24">
            <v>52</v>
          </cell>
          <cell r="C24">
            <v>68</v>
          </cell>
          <cell r="D24">
            <v>74.666666666666671</v>
          </cell>
          <cell r="E24">
            <v>40</v>
          </cell>
          <cell r="F24">
            <v>109.375</v>
          </cell>
          <cell r="G24">
            <v>98.235555555555564</v>
          </cell>
        </row>
      </sheetData>
      <sheetData sheetId="14">
        <row r="12">
          <cell r="B12">
            <v>92.488596104874603</v>
          </cell>
          <cell r="C12">
            <v>19.066666666666698</v>
          </cell>
          <cell r="D12">
            <v>25.270526037536357</v>
          </cell>
          <cell r="E12">
            <v>30.6</v>
          </cell>
          <cell r="F12">
            <v>41.856447202269415</v>
          </cell>
        </row>
      </sheetData>
      <sheetData sheetId="15">
        <row r="5">
          <cell r="H5">
            <v>-9.952321540286917</v>
          </cell>
        </row>
      </sheetData>
      <sheetData sheetId="16">
        <row r="9">
          <cell r="B9">
            <v>31.671264319348126</v>
          </cell>
          <cell r="C9">
            <v>13.333333333333334</v>
          </cell>
          <cell r="D9">
            <v>30</v>
          </cell>
          <cell r="E9">
            <v>25.001532550893824</v>
          </cell>
        </row>
      </sheetData>
      <sheetData sheetId="17">
        <row r="5">
          <cell r="B5">
            <v>3.6720856463124498</v>
          </cell>
        </row>
      </sheetData>
      <sheetData sheetId="18">
        <row r="14">
          <cell r="D14">
            <v>231.12685204720776</v>
          </cell>
          <cell r="E14">
            <v>292.92339458520576</v>
          </cell>
          <cell r="F14">
            <v>295.39989365405097</v>
          </cell>
          <cell r="G14">
            <v>94.106714118288238</v>
          </cell>
          <cell r="H14">
            <v>176.81168362042348</v>
          </cell>
          <cell r="I14">
            <v>218.72876572186641</v>
          </cell>
        </row>
      </sheetData>
      <sheetData sheetId="19">
        <row r="8">
          <cell r="B8">
            <v>146.61128099032786</v>
          </cell>
          <cell r="C8">
            <v>190.5808916140202</v>
          </cell>
          <cell r="D8">
            <v>122.80427234998299</v>
          </cell>
          <cell r="E8">
            <v>92.705972099714387</v>
          </cell>
          <cell r="F8">
            <v>204.08785615768542</v>
          </cell>
          <cell r="G8">
            <v>188.85137248963701</v>
          </cell>
        </row>
      </sheetData>
      <sheetData sheetId="20">
        <row r="7">
          <cell r="B7">
            <v>23.097260601919597</v>
          </cell>
          <cell r="C7">
            <v>20.451343141386658</v>
          </cell>
          <cell r="D7">
            <v>21.77430187165313</v>
          </cell>
        </row>
      </sheetData>
      <sheetData sheetId="21">
        <row r="7">
          <cell r="B7">
            <v>168.91901082450869</v>
          </cell>
        </row>
      </sheetData>
      <sheetData sheetId="22">
        <row r="3">
          <cell r="B3">
            <v>60</v>
          </cell>
        </row>
      </sheetData>
      <sheetData sheetId="23">
        <row r="5">
          <cell r="B5">
            <v>1942.5686244818498</v>
          </cell>
          <cell r="D5">
            <v>1541.2335402249964</v>
          </cell>
        </row>
        <row r="108">
          <cell r="K108">
            <v>1139.898455968143</v>
          </cell>
        </row>
      </sheetData>
      <sheetData sheetId="24">
        <row r="6">
          <cell r="F6">
            <v>16.349870892018782</v>
          </cell>
          <cell r="G6">
            <v>38.717370892018778</v>
          </cell>
          <cell r="H6">
            <v>27.533620892018781</v>
          </cell>
        </row>
      </sheetData>
      <sheetData sheetId="25">
        <row r="83">
          <cell r="B83">
            <v>28.003051990125165</v>
          </cell>
          <cell r="C83">
            <v>87.566920772399598</v>
          </cell>
          <cell r="D83">
            <v>1120.2685668060019</v>
          </cell>
          <cell r="E83">
            <v>216.95479295955988</v>
          </cell>
          <cell r="F83">
            <v>377.17210043411603</v>
          </cell>
        </row>
      </sheetData>
      <sheetData sheetId="26">
        <row r="13">
          <cell r="B13">
            <v>6.8388568628430111</v>
          </cell>
          <cell r="C13">
            <v>8.2914665344141323</v>
          </cell>
          <cell r="D13">
            <v>5.0998622081194931</v>
          </cell>
          <cell r="E13">
            <v>6.7433952017922119</v>
          </cell>
        </row>
      </sheetData>
      <sheetData sheetId="27">
        <row r="23">
          <cell r="B23">
            <v>5.5487704909128439</v>
          </cell>
          <cell r="C23">
            <v>-0.9099035772869879</v>
          </cell>
          <cell r="D23">
            <v>9.5586880166860375</v>
          </cell>
          <cell r="E23">
            <v>-0.70426678109351037</v>
          </cell>
          <cell r="F23">
            <v>12.03612179939817</v>
          </cell>
          <cell r="G23">
            <v>2.3399238964992399</v>
          </cell>
          <cell r="H23">
            <v>4.6448889741859674</v>
          </cell>
        </row>
      </sheetData>
      <sheetData sheetId="28">
        <row r="8">
          <cell r="D8">
            <v>-60.709732736490132</v>
          </cell>
        </row>
        <row r="9">
          <cell r="D9">
            <v>-40.613518150684939</v>
          </cell>
        </row>
      </sheetData>
      <sheetData sheetId="29">
        <row r="7">
          <cell r="B7">
            <v>93.333333333333343</v>
          </cell>
          <cell r="C7">
            <v>53.333333333333336</v>
          </cell>
          <cell r="D7">
            <v>75.25333333333333</v>
          </cell>
          <cell r="E7">
            <v>73.973333333333343</v>
          </cell>
        </row>
      </sheetData>
      <sheetData sheetId="30">
        <row r="13">
          <cell r="B13">
            <v>14.666666666666666</v>
          </cell>
          <cell r="C13">
            <v>33.333333333333336</v>
          </cell>
          <cell r="D13">
            <v>13.333333</v>
          </cell>
          <cell r="E13">
            <v>16</v>
          </cell>
          <cell r="F13">
            <v>9.0666666666666664</v>
          </cell>
          <cell r="G13">
            <v>28.421942902458365</v>
          </cell>
        </row>
      </sheetData>
      <sheetData sheetId="31">
        <row r="29">
          <cell r="D29">
            <v>5312.2532683404979</v>
          </cell>
        </row>
      </sheetData>
      <sheetData sheetId="32">
        <row r="38">
          <cell r="B38">
            <v>155.04697593006117</v>
          </cell>
          <cell r="C38">
            <v>161.75264835076936</v>
          </cell>
          <cell r="D38">
            <v>212.0637415059353</v>
          </cell>
          <cell r="E38">
            <v>255.49680646057996</v>
          </cell>
          <cell r="F38">
            <v>112.48944548139531</v>
          </cell>
          <cell r="G38">
            <v>171.19646905570147</v>
          </cell>
        </row>
      </sheetData>
      <sheetData sheetId="33">
        <row r="8">
          <cell r="E8">
            <v>17.751058120265181</v>
          </cell>
        </row>
      </sheetData>
      <sheetData sheetId="34">
        <row r="11">
          <cell r="B11">
            <v>459.6741427529808</v>
          </cell>
          <cell r="C11">
            <v>543.41791083214571</v>
          </cell>
          <cell r="D11">
            <v>441.51535831848946</v>
          </cell>
          <cell r="E11">
            <v>474.652099845907</v>
          </cell>
          <cell r="F11">
            <v>383.68688245460265</v>
          </cell>
          <cell r="G11">
            <v>410.01573620954338</v>
          </cell>
        </row>
      </sheetData>
      <sheetData sheetId="35">
        <row r="4">
          <cell r="E4">
            <v>150</v>
          </cell>
        </row>
        <row r="6">
          <cell r="E6">
            <v>150</v>
          </cell>
        </row>
        <row r="8">
          <cell r="E8">
            <v>203.5</v>
          </cell>
        </row>
        <row r="9">
          <cell r="E9">
            <v>170.41666666666669</v>
          </cell>
        </row>
        <row r="10">
          <cell r="E10">
            <v>203.5</v>
          </cell>
        </row>
        <row r="13">
          <cell r="E13">
            <v>110.35</v>
          </cell>
        </row>
        <row r="16">
          <cell r="E16">
            <v>139.64285714285714</v>
          </cell>
        </row>
        <row r="18">
          <cell r="E18">
            <v>139.64285714285714</v>
          </cell>
        </row>
        <row r="19">
          <cell r="E19">
            <v>147.72142857142856</v>
          </cell>
        </row>
        <row r="26">
          <cell r="E26">
            <v>59.03478260869565</v>
          </cell>
        </row>
        <row r="28">
          <cell r="E28">
            <v>59.03478260869565</v>
          </cell>
        </row>
        <row r="30">
          <cell r="E30">
            <v>85.36363636363636</v>
          </cell>
        </row>
        <row r="32">
          <cell r="E32">
            <v>85.36363636363636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Assumptions"/>
      <sheetName val="IDDE"/>
      <sheetName val="Urban Stream Restoration"/>
      <sheetName val="Urban Shoreline Mgmt"/>
      <sheetName val="SPS - Runoff Reduction"/>
      <sheetName val="SPS- Stormwater"/>
      <sheetName val="Impervious Disconnection"/>
      <sheetName val="Urban Forest Planting"/>
      <sheetName val="Floating Treatment Wetland"/>
      <sheetName val="Advanced Street Sweeping"/>
      <sheetName val="Mechanical Street Sweeping"/>
      <sheetName val="Storm Drain Cleaning"/>
      <sheetName val="Erosion &amp; Sediment Control"/>
      <sheetName val="Urban Nutrient Management"/>
      <sheetName val="Urban Filter Strips"/>
      <sheetName val="Algal Flow-way"/>
    </sheetNames>
    <sheetDataSet>
      <sheetData sheetId="0"/>
      <sheetData sheetId="1"/>
      <sheetData sheetId="2">
        <row r="13">
          <cell r="C13">
            <v>1.4527149694669088</v>
          </cell>
        </row>
        <row r="17">
          <cell r="C17">
            <v>1.3149088736181656</v>
          </cell>
        </row>
        <row r="18">
          <cell r="C18">
            <v>1.2371047083626141</v>
          </cell>
        </row>
        <row r="19">
          <cell r="C19">
            <v>1.1821112006446415</v>
          </cell>
        </row>
        <row r="20">
          <cell r="H20">
            <v>0.5</v>
          </cell>
        </row>
        <row r="21">
          <cell r="C21">
            <v>1.1049460205874968</v>
          </cell>
        </row>
        <row r="22">
          <cell r="C22">
            <v>1.0592057761732852</v>
          </cell>
        </row>
        <row r="24">
          <cell r="H24">
            <v>0.05</v>
          </cell>
        </row>
        <row r="26">
          <cell r="C26">
            <v>0.94563816072195961</v>
          </cell>
        </row>
        <row r="27">
          <cell r="C27">
            <v>0.92196501518801721</v>
          </cell>
        </row>
        <row r="30">
          <cell r="C30">
            <v>0.8514219384793964</v>
          </cell>
        </row>
        <row r="31">
          <cell r="F31">
            <v>0.83418367346938771</v>
          </cell>
        </row>
        <row r="49">
          <cell r="B49">
            <v>0.05</v>
          </cell>
        </row>
        <row r="55">
          <cell r="B55">
            <v>0.01</v>
          </cell>
        </row>
        <row r="60">
          <cell r="B60">
            <v>0.2</v>
          </cell>
        </row>
      </sheetData>
      <sheetData sheetId="3"/>
      <sheetData sheetId="4"/>
      <sheetData sheetId="5"/>
      <sheetData sheetId="6"/>
      <sheetData sheetId="7"/>
      <sheetData sheetId="8"/>
      <sheetData sheetId="9"/>
      <sheetData sheetId="10"/>
      <sheetData sheetId="11"/>
      <sheetData sheetId="12"/>
      <sheetData sheetId="13"/>
      <sheetData sheetId="14">
        <row r="8">
          <cell r="B8">
            <v>1144.8249932432434</v>
          </cell>
          <cell r="C8">
            <v>4804.6579358108111</v>
          </cell>
          <cell r="D8">
            <v>6005.8224197635136</v>
          </cell>
        </row>
      </sheetData>
      <sheetData sheetId="15"/>
      <sheetData sheetId="16">
        <row r="16">
          <cell r="D16">
            <v>4481.529629624436</v>
          </cell>
          <cell r="G16">
            <v>4481.529629624436</v>
          </cell>
        </row>
      </sheetData>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rest Buffers Narrow w EF"/>
      <sheetName val="ForestBuffersStreamside w EF"/>
      <sheetName val="Grass Buffers Streamside w EF"/>
      <sheetName val="Grass Buffers Narrow w EF"/>
      <sheetName val="Updated_ConservationTill"/>
      <sheetName val="LowResidue Tillage"/>
      <sheetName val="DiploidOysters"/>
      <sheetName val="TriploidOysters"/>
      <sheetName val="MonitoredOysters"/>
      <sheetName val="WetlandRestoration_ Floodplain"/>
      <sheetName val="WetlandRest_Headwater"/>
      <sheetName val="WetlandCreation_Headwater"/>
      <sheetName val="WetlandCreation_Floodplain"/>
      <sheetName val="WetlandEnhancement"/>
      <sheetName val="WetlandRehabilitation"/>
      <sheetName val="Manure Injection"/>
      <sheetName val="Manure Incorp Low Dist"/>
      <sheetName val="Manure Incorp High Dist"/>
      <sheetName val="ShoreAgVeg"/>
      <sheetName val="ShoreAgNoVeg"/>
      <sheetName val="NCoreNMPlan"/>
      <sheetName val="PCoreNMPlan"/>
      <sheetName val="NMPlan_NRate"/>
      <sheetName val="NMPlan_PRate"/>
      <sheetName val="NMPlan_NPlacement"/>
      <sheetName val="NMPlan_PPlacement"/>
      <sheetName val="NMPlan_NTiming"/>
      <sheetName val="NMPlan_PTiming"/>
      <sheetName val="EffNutMan"/>
      <sheetName val="MT_TurnedPileWindrow"/>
      <sheetName val="MT_StaticPileWindrow"/>
      <sheetName val="MT_Pyrolysis"/>
      <sheetName val="MT_Gasification"/>
      <sheetName val="MT_Combustion"/>
      <sheetName val="MT_RotatingBin"/>
      <sheetName val="MT_Aeration"/>
      <sheetName val="Poultry Nutrient Reduction"/>
      <sheetName val="Ditch Filters"/>
      <sheetName val="Opportuniy Cost"/>
    </sheetNames>
    <sheetDataSet>
      <sheetData sheetId="0">
        <row r="13">
          <cell r="G13">
            <v>0.05</v>
          </cell>
        </row>
        <row r="15">
          <cell r="C15">
            <v>1.3401639344262293</v>
          </cell>
        </row>
        <row r="18">
          <cell r="C18">
            <v>1.2066420664206641</v>
          </cell>
        </row>
        <row r="20">
          <cell r="C20">
            <v>1.101010101010101</v>
          </cell>
        </row>
        <row r="22">
          <cell r="C22">
            <v>1.0293809024134313</v>
          </cell>
        </row>
        <row r="24">
          <cell r="C24">
            <v>0.98099999999999998</v>
          </cell>
        </row>
        <row r="25">
          <cell r="C25">
            <v>0.96365422396856582</v>
          </cell>
        </row>
        <row r="28">
          <cell r="C28">
            <v>0.86279683377308702</v>
          </cell>
        </row>
        <row r="29">
          <cell r="C29">
            <v>0.84861591695501726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E4">
            <v>150</v>
          </cell>
        </row>
        <row r="6">
          <cell r="E6">
            <v>150</v>
          </cell>
        </row>
        <row r="8">
          <cell r="E8">
            <v>203.5</v>
          </cell>
        </row>
        <row r="9">
          <cell r="E9">
            <v>170.41666666666669</v>
          </cell>
        </row>
        <row r="10">
          <cell r="E10">
            <v>203.5</v>
          </cell>
        </row>
        <row r="13">
          <cell r="E13">
            <v>110.35</v>
          </cell>
        </row>
        <row r="16">
          <cell r="E16">
            <v>139.64285714285714</v>
          </cell>
        </row>
        <row r="18">
          <cell r="E18">
            <v>139.64285714285714</v>
          </cell>
        </row>
        <row r="26">
          <cell r="E26">
            <v>59.03478260869565</v>
          </cell>
        </row>
        <row r="28">
          <cell r="E28">
            <v>59.03478260869565</v>
          </cell>
        </row>
        <row r="30">
          <cell r="E30">
            <v>85.36363636363636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Assumptions"/>
      <sheetName val="Erosion and Sediment Contro (2"/>
      <sheetName val="Urban Filter Strips"/>
      <sheetName val="Urban Nutrient Management"/>
      <sheetName val="Algal Flow-way"/>
    </sheetNames>
    <sheetDataSet>
      <sheetData sheetId="0" refreshError="1"/>
      <sheetData sheetId="1" refreshError="1"/>
      <sheetData sheetId="2" refreshError="1">
        <row r="13">
          <cell r="C13">
            <v>1.4868243243243244</v>
          </cell>
        </row>
        <row r="15">
          <cell r="C15">
            <v>1.4148850667095323</v>
          </cell>
        </row>
        <row r="18">
          <cell r="C18">
            <v>1.3149088736181656</v>
          </cell>
        </row>
        <row r="21">
          <cell r="C21">
            <v>1.1355954070442524</v>
          </cell>
        </row>
        <row r="25">
          <cell r="H25">
            <v>0.05</v>
          </cell>
        </row>
        <row r="27">
          <cell r="C27">
            <v>0.94563816072195961</v>
          </cell>
        </row>
      </sheetData>
      <sheetData sheetId="3" refreshError="1">
        <row r="8">
          <cell r="B8">
            <v>1144.8249932432434</v>
          </cell>
          <cell r="C8">
            <v>4804.6579358108111</v>
          </cell>
          <cell r="D8">
            <v>6005.8224197635136</v>
          </cell>
        </row>
      </sheetData>
      <sheetData sheetId="4" refreshError="1">
        <row r="16">
          <cell r="D16">
            <v>4481.529629624436</v>
          </cell>
          <cell r="G16">
            <v>4481.529629624436</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rest Buffers Narrow w EF"/>
      <sheetName val="ForestBuffersStreamside w EF"/>
      <sheetName val="Grass Buffers Streamside w EF"/>
      <sheetName val="Grass Buffers Narrow w EF"/>
      <sheetName val="Updated_ConservationTill"/>
      <sheetName val="LowResidue Tillage"/>
      <sheetName val="DiploidOysters"/>
      <sheetName val="TriploidOysters"/>
      <sheetName val="MonitoredOysters"/>
      <sheetName val="WetlandRestoration_ Floodplain"/>
      <sheetName val="WetlandRest_Headwater"/>
      <sheetName val="WetlandCreation_Headwater"/>
      <sheetName val="WetlandCreation_Floodplain"/>
      <sheetName val="WetlandEnhancement"/>
      <sheetName val="WetlandRehabilitation"/>
      <sheetName val="Manure Injection"/>
      <sheetName val="Manure Incorp Low Dist"/>
      <sheetName val="Manure Incorp High Dist"/>
      <sheetName val="ShoreAgVeg"/>
      <sheetName val="ShoreAgNoVeg"/>
      <sheetName val="NCoreNMPlan"/>
      <sheetName val="PCoreNMPlan"/>
      <sheetName val="NMPlan_NRate"/>
      <sheetName val="NMPlan_PRate"/>
      <sheetName val="NMPlan_NPlacement"/>
      <sheetName val="NMPlan_PPlacement"/>
      <sheetName val="NMPlan_NTiming"/>
      <sheetName val="NMPlan_PTiming"/>
      <sheetName val="EffNutMan"/>
      <sheetName val="MT_TurnedPileWindrow"/>
      <sheetName val="MT_StaticPileWindrow"/>
      <sheetName val="MT_Pyrolysis"/>
      <sheetName val="MT_Gasification"/>
      <sheetName val="MT_Combustion"/>
      <sheetName val="MT_RotatingBin"/>
      <sheetName val="MT_Aeration"/>
      <sheetName val="Poultry Nutrient Reduction"/>
      <sheetName val="Ditch Filters"/>
      <sheetName val="Opportuniy Cost"/>
    </sheetNames>
    <sheetDataSet>
      <sheetData sheetId="0" refreshError="1">
        <row r="13">
          <cell r="G13">
            <v>0.05</v>
          </cell>
        </row>
        <row r="15">
          <cell r="C15">
            <v>1.3401639344262293</v>
          </cell>
        </row>
        <row r="18">
          <cell r="C18">
            <v>1.2066420664206641</v>
          </cell>
        </row>
        <row r="20">
          <cell r="C20">
            <v>1.101010101010101</v>
          </cell>
        </row>
        <row r="22">
          <cell r="C22">
            <v>1.0293809024134313</v>
          </cell>
        </row>
        <row r="24">
          <cell r="C24">
            <v>0.98099999999999998</v>
          </cell>
        </row>
        <row r="25">
          <cell r="C25">
            <v>0.96365422396856582</v>
          </cell>
        </row>
        <row r="28">
          <cell r="C28">
            <v>0.86279683377308702</v>
          </cell>
        </row>
        <row r="29">
          <cell r="C29">
            <v>0.84861591695501726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4">
          <cell r="E4">
            <v>150</v>
          </cell>
        </row>
        <row r="6">
          <cell r="E6">
            <v>150</v>
          </cell>
        </row>
        <row r="8">
          <cell r="E8">
            <v>203.5</v>
          </cell>
        </row>
        <row r="9">
          <cell r="E9">
            <v>170.41666666666669</v>
          </cell>
        </row>
        <row r="10">
          <cell r="E10">
            <v>203.5</v>
          </cell>
        </row>
        <row r="13">
          <cell r="E13">
            <v>110.35</v>
          </cell>
        </row>
        <row r="16">
          <cell r="E16">
            <v>139.64285714285714</v>
          </cell>
        </row>
        <row r="18">
          <cell r="E18">
            <v>139.64285714285714</v>
          </cell>
        </row>
        <row r="26">
          <cell r="E26">
            <v>59.03478260869565</v>
          </cell>
        </row>
        <row r="28">
          <cell r="E28">
            <v>59.03478260869565</v>
          </cell>
        </row>
        <row r="30">
          <cell r="E30">
            <v>85.36363636363636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Assumptions"/>
      <sheetName val="DiploidOysters"/>
      <sheetName val="TriploidOysters"/>
      <sheetName val="MonitoredOysters"/>
      <sheetName val="Sheet1"/>
    </sheetNames>
    <sheetDataSet>
      <sheetData sheetId="0"/>
      <sheetData sheetId="1"/>
      <sheetData sheetId="2">
        <row r="27">
          <cell r="A27">
            <v>0.05</v>
          </cell>
        </row>
      </sheetData>
      <sheetData sheetId="3"/>
      <sheetData sheetId="4"/>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ssumptions"/>
      <sheetName val="BMPs Summary"/>
      <sheetName val="Bioretention underdrain AB Soil"/>
      <sheetName val="Bioretention no underdrain AB"/>
      <sheetName val="Bioretention underdrain CD"/>
      <sheetName val="Bioswale"/>
      <sheetName val="Filtering Practices"/>
      <sheetName val="Forest Buffers"/>
      <sheetName val="Infiltration AB Soils w_sand"/>
      <sheetName val="Infiltration AB wo_sand "/>
      <sheetName val="Vegetated Open Channel AB"/>
      <sheetName val="Vegetated Channel CD"/>
      <sheetName val="Wetlands-Wet Ponds"/>
      <sheetName val="Bioretention Detailed"/>
      <sheetName val="Bioswale Detailed"/>
      <sheetName val="Filtering Practices Detailed"/>
      <sheetName val="Forest Buffer From EQIP"/>
      <sheetName val="Infiltration Practices Detailed"/>
      <sheetName val="Vegetated Open Channels Detld"/>
      <sheetName val="Wet Ponds and Wetland Detailed"/>
      <sheetName val="Construction Cost Index Detld"/>
    </sheetNames>
    <sheetDataSet>
      <sheetData sheetId="0"/>
      <sheetData sheetId="1">
        <row r="2">
          <cell r="Q2">
            <v>0.05</v>
          </cell>
        </row>
        <row r="3">
          <cell r="Q3">
            <v>0.4</v>
          </cell>
        </row>
        <row r="4">
          <cell r="Q4">
            <v>0.22500000000000003</v>
          </cell>
          <cell r="T4">
            <v>12</v>
          </cell>
        </row>
        <row r="5">
          <cell r="T5">
            <v>43560</v>
          </cell>
        </row>
        <row r="6">
          <cell r="Q6">
            <v>0.05</v>
          </cell>
          <cell r="T6">
            <v>3630</v>
          </cell>
        </row>
        <row r="7">
          <cell r="Q7">
            <v>0.05</v>
          </cell>
          <cell r="T7">
            <v>25</v>
          </cell>
        </row>
        <row r="8">
          <cell r="Q8">
            <v>0.05</v>
          </cell>
          <cell r="T8">
            <v>16.666666666666668</v>
          </cell>
        </row>
        <row r="10">
          <cell r="T10">
            <v>25</v>
          </cell>
        </row>
        <row r="11">
          <cell r="T11">
            <v>25</v>
          </cell>
        </row>
        <row r="14">
          <cell r="W14">
            <v>0.02</v>
          </cell>
        </row>
      </sheetData>
      <sheetData sheetId="2"/>
      <sheetData sheetId="3"/>
      <sheetData sheetId="4"/>
      <sheetData sheetId="5"/>
      <sheetData sheetId="6"/>
      <sheetData sheetId="7"/>
      <sheetData sheetId="8"/>
      <sheetData sheetId="9"/>
      <sheetData sheetId="10"/>
      <sheetData sheetId="11"/>
      <sheetData sheetId="12"/>
      <sheetData sheetId="13"/>
      <sheetData sheetId="14">
        <row r="99">
          <cell r="K99">
            <v>0.45</v>
          </cell>
        </row>
        <row r="104">
          <cell r="I104">
            <v>0.69932948886769875</v>
          </cell>
          <cell r="J104">
            <v>0.69926296393787846</v>
          </cell>
        </row>
      </sheetData>
      <sheetData sheetId="15"/>
      <sheetData sheetId="16"/>
      <sheetData sheetId="17"/>
      <sheetData sheetId="18">
        <row r="95">
          <cell r="O95">
            <v>13198.68</v>
          </cell>
        </row>
        <row r="97">
          <cell r="O97">
            <v>0.24993252088791293</v>
          </cell>
        </row>
        <row r="98">
          <cell r="K98">
            <v>3267</v>
          </cell>
        </row>
      </sheetData>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Assumptions"/>
      <sheetName val="Alt Watering"/>
      <sheetName val="Ammonia Emission"/>
      <sheetName val="Animal Waste Mgmt"/>
      <sheetName val="Barnyard Runoff"/>
      <sheetName val="Capture and Reuse"/>
      <sheetName val="Carbon Seques"/>
      <sheetName val="Comm &amp; Small Grain CC"/>
      <sheetName val="Conservation Plan"/>
      <sheetName val="Conservation Tillage"/>
      <sheetName val="Cont No-Till"/>
      <sheetName val="Cover Crops"/>
      <sheetName val="Cropland Irrig. Mgmt"/>
      <sheetName val="Dairy Precision Feeding"/>
      <sheetName val="Decision Ag"/>
      <sheetName val="Enhanced Nutr Mgmt"/>
      <sheetName val="Forest Buffers"/>
      <sheetName val="Grass Buffers"/>
      <sheetName val="Horse Pasture Mgmt"/>
      <sheetName val="Land Retirement"/>
      <sheetName val="Liq. Manure Inj."/>
      <sheetName val="Loafing Lot Mgmt"/>
      <sheetName val="Manure Transport"/>
      <sheetName val="Mortality Comp"/>
      <sheetName val="NonUrban Stream Restoration"/>
      <sheetName val="Nutr Mgmt"/>
      <sheetName val="Phytase"/>
      <sheetName val=" Prescribed Intensive Grazing"/>
      <sheetName val="Prescribed Grazing"/>
      <sheetName val="Stream Access Control"/>
      <sheetName val="Tree Planting"/>
      <sheetName val="Water Control Structures"/>
      <sheetName val="Wetland Restoration"/>
      <sheetName val="Opportuniy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4">
          <cell r="E4">
            <v>150</v>
          </cell>
        </row>
        <row r="11">
          <cell r="E11">
            <v>124.1</v>
          </cell>
        </row>
        <row r="19">
          <cell r="E19">
            <v>147.72142857142856</v>
          </cell>
        </row>
        <row r="26">
          <cell r="E26">
            <v>59.03478260869565</v>
          </cell>
        </row>
        <row r="30">
          <cell r="E30">
            <v>85.36363636363636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MPs Summary"/>
      <sheetName val="Dry Ext Detention"/>
      <sheetName val="Dry Detention-Hydro Structures"/>
      <sheetName val="Erosion and Sediment Control"/>
      <sheetName val="Filtering Practices"/>
      <sheetName val="Infiltration"/>
      <sheetName val="Wetlands-Wet Ponds"/>
      <sheetName val="Nutrient Mgmt"/>
      <sheetName val="Tree Planting"/>
      <sheetName val="Growth Red"/>
      <sheetName val="Stream Restoration"/>
      <sheetName val="Forest Buffers"/>
      <sheetName val="Grass Buffers"/>
      <sheetName val="Street Sweeping"/>
      <sheetName val="Impervious Surface Reduc"/>
      <sheetName val="Forest Conservation"/>
      <sheetName val="Retrofit SW Mgmt"/>
      <sheetName val="Assumptions"/>
      <sheetName val="SET ASIDE -&gt;"/>
      <sheetName val="Bioretention"/>
      <sheetName val="Vegetated Open Channels"/>
      <sheetName val="Vegetated Filter Strip"/>
      <sheetName val="Wet Ponds-Wet Det Centers"/>
      <sheetName val="Green Roads"/>
      <sheetName val="Green Roads-2010"/>
      <sheetName val="Sand Filter"/>
      <sheetName val="Sand Filter-2010"/>
      <sheetName val="Green Roofs"/>
      <sheetName val="Green Roofs-2010"/>
      <sheetName val="Impervious Alternatives"/>
      <sheetName val="Impervious Alts-2010"/>
      <sheetName val="Downspout Disconnection"/>
      <sheetName val="Downspout Disconnection-2010"/>
      <sheetName val="Rain Barrels"/>
      <sheetName val="Cisterns"/>
      <sheetName val="Rain Barrels-2010"/>
      <sheetName val="Swale"/>
      <sheetName val="Swale-2010"/>
      <sheetName val="Permeable Pavement"/>
      <sheetName val="Stormwater Retrofits"/>
      <sheetName val="Permeable Pavement-2010"/>
      <sheetName val="Urban Land Conversion"/>
      <sheetName val="Definitions"/>
    </sheetNames>
    <sheetDataSet>
      <sheetData sheetId="0"/>
      <sheetData sheetId="1">
        <row r="2">
          <cell r="C2" t="str">
            <v>Watershed</v>
          </cell>
        </row>
      </sheetData>
      <sheetData sheetId="2">
        <row r="2">
          <cell r="F2">
            <v>7.0000000000000007E-2</v>
          </cell>
        </row>
      </sheetData>
      <sheetData sheetId="3"/>
      <sheetData sheetId="4"/>
      <sheetData sheetId="5"/>
      <sheetData sheetId="6"/>
      <sheetData sheetId="7"/>
      <sheetData sheetId="8"/>
      <sheetData sheetId="9"/>
      <sheetData sheetId="10"/>
      <sheetData sheetId="11">
        <row r="13">
          <cell r="B13">
            <v>11.165841591616148</v>
          </cell>
        </row>
      </sheetData>
      <sheetData sheetId="12">
        <row r="13">
          <cell r="B13">
            <v>4314.9665495274385</v>
          </cell>
        </row>
      </sheetData>
      <sheetData sheetId="13">
        <row r="13">
          <cell r="B13">
            <v>3092.3926938279974</v>
          </cell>
        </row>
      </sheetData>
      <sheetData sheetId="14">
        <row r="11">
          <cell r="B11">
            <v>1001.6716078209537</v>
          </cell>
        </row>
      </sheetData>
      <sheetData sheetId="15">
        <row r="14">
          <cell r="B14">
            <v>14679.965389951145</v>
          </cell>
        </row>
      </sheetData>
      <sheetData sheetId="16"/>
      <sheetData sheetId="17">
        <row r="14">
          <cell r="D14">
            <v>7507.7776165617779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r.com/economics/historical_indices/construction_cost_index_histor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21D4-8104-4BC2-8FB6-91785F2FAF16}">
  <sheetPr>
    <tabColor rgb="FFFF0000"/>
  </sheetPr>
  <dimension ref="A1:M75"/>
  <sheetViews>
    <sheetView workbookViewId="0">
      <pane ySplit="1" topLeftCell="A53" activePane="bottomLeft" state="frozen"/>
      <selection activeCell="B1" sqref="B1"/>
      <selection pane="bottomLeft" activeCell="I63" sqref="I63"/>
    </sheetView>
    <sheetView tabSelected="1" workbookViewId="1">
      <selection activeCell="E60" sqref="E60"/>
    </sheetView>
  </sheetViews>
  <sheetFormatPr defaultRowHeight="14.4" x14ac:dyDescent="0.3"/>
  <cols>
    <col min="1" max="1" width="7.5546875" customWidth="1"/>
    <col min="2" max="2" width="9" style="10" bestFit="1" customWidth="1"/>
    <col min="3" max="3" width="36.5546875" bestFit="1" customWidth="1"/>
    <col min="4" max="4" width="20.33203125" style="10" customWidth="1"/>
    <col min="5" max="5" width="21.5546875" style="321" customWidth="1"/>
    <col min="6" max="6" width="14.44140625" customWidth="1"/>
    <col min="7" max="7" width="18" customWidth="1"/>
    <col min="8" max="8" width="15.33203125" style="321" customWidth="1"/>
    <col min="9" max="9" width="15.88671875" customWidth="1"/>
    <col min="10" max="10" width="13" customWidth="1"/>
    <col min="11" max="11" width="18.109375" style="321" customWidth="1"/>
    <col min="12" max="12" width="21.109375" customWidth="1"/>
    <col min="13" max="13" width="18.33203125" customWidth="1"/>
  </cols>
  <sheetData>
    <row r="1" spans="1:13" x14ac:dyDescent="0.3">
      <c r="A1" s="6" t="s">
        <v>31</v>
      </c>
      <c r="B1" s="7" t="s">
        <v>32</v>
      </c>
      <c r="C1" s="6" t="s">
        <v>30</v>
      </c>
      <c r="D1" s="7" t="s">
        <v>29</v>
      </c>
      <c r="E1" s="7" t="s">
        <v>28</v>
      </c>
      <c r="F1" s="6" t="s">
        <v>27</v>
      </c>
      <c r="G1" s="5" t="s">
        <v>26</v>
      </c>
      <c r="H1" s="7" t="s">
        <v>25</v>
      </c>
      <c r="I1" s="6" t="s">
        <v>24</v>
      </c>
      <c r="J1" s="5" t="s">
        <v>23</v>
      </c>
      <c r="K1" s="7" t="s">
        <v>22</v>
      </c>
      <c r="L1" s="6" t="s">
        <v>21</v>
      </c>
      <c r="M1" s="5" t="s">
        <v>20</v>
      </c>
    </row>
    <row r="2" spans="1:13" s="3" customFormat="1" x14ac:dyDescent="0.3">
      <c r="A2" s="3" t="s">
        <v>3</v>
      </c>
      <c r="B2" s="9">
        <v>30</v>
      </c>
      <c r="C2" s="3" t="s">
        <v>19</v>
      </c>
      <c r="D2" s="9">
        <v>15</v>
      </c>
      <c r="E2" s="314">
        <v>1136.3827854671281</v>
      </c>
      <c r="F2" s="3" t="s">
        <v>16</v>
      </c>
      <c r="G2" s="2" t="s">
        <v>18</v>
      </c>
      <c r="H2" s="322">
        <v>52.109471094710948</v>
      </c>
      <c r="I2" s="3" t="s">
        <v>0</v>
      </c>
      <c r="J2" s="3" t="s">
        <v>17</v>
      </c>
      <c r="K2" s="322">
        <v>1136.0195268506072</v>
      </c>
      <c r="L2" s="3" t="s">
        <v>16</v>
      </c>
      <c r="M2" s="3" t="s">
        <v>408</v>
      </c>
    </row>
    <row r="3" spans="1:13" s="2" customFormat="1" x14ac:dyDescent="0.3">
      <c r="A3" s="2" t="s">
        <v>7</v>
      </c>
      <c r="B3" s="8">
        <v>30</v>
      </c>
      <c r="C3" s="2" t="s">
        <v>19</v>
      </c>
      <c r="D3" s="8">
        <v>15</v>
      </c>
      <c r="E3" s="315">
        <v>2971.4532871972319</v>
      </c>
      <c r="F3" s="2" t="s">
        <v>16</v>
      </c>
      <c r="G3" s="2" t="s">
        <v>18</v>
      </c>
      <c r="H3" s="323">
        <v>52.109471094710948</v>
      </c>
      <c r="I3" s="2" t="s">
        <v>0</v>
      </c>
      <c r="J3" s="2" t="s">
        <v>17</v>
      </c>
      <c r="K3" s="323">
        <v>2076.6103352264404</v>
      </c>
      <c r="L3" s="2" t="s">
        <v>16</v>
      </c>
      <c r="M3" s="2" t="s">
        <v>408</v>
      </c>
    </row>
    <row r="4" spans="1:13" s="2" customFormat="1" x14ac:dyDescent="0.3">
      <c r="A4" s="2" t="s">
        <v>2</v>
      </c>
      <c r="B4" s="8">
        <v>30</v>
      </c>
      <c r="C4" s="2" t="s">
        <v>19</v>
      </c>
      <c r="D4" s="8">
        <v>15</v>
      </c>
      <c r="E4" s="315">
        <v>3393.5284169550173</v>
      </c>
      <c r="F4" s="2" t="s">
        <v>16</v>
      </c>
      <c r="G4" s="2" t="s">
        <v>18</v>
      </c>
      <c r="H4" s="323">
        <v>52.109471094710948</v>
      </c>
      <c r="I4" s="2" t="s">
        <v>0</v>
      </c>
      <c r="J4" s="2" t="s">
        <v>17</v>
      </c>
      <c r="K4" s="323">
        <v>1096.7634843253875</v>
      </c>
      <c r="L4" s="2" t="s">
        <v>16</v>
      </c>
      <c r="M4" s="2" t="s">
        <v>408</v>
      </c>
    </row>
    <row r="5" spans="1:13" s="2" customFormat="1" x14ac:dyDescent="0.3">
      <c r="A5" s="2" t="s">
        <v>6</v>
      </c>
      <c r="B5" s="8">
        <v>30</v>
      </c>
      <c r="C5" s="2" t="s">
        <v>19</v>
      </c>
      <c r="D5" s="8">
        <v>15</v>
      </c>
      <c r="E5" s="315">
        <v>3442.5276816608998</v>
      </c>
      <c r="F5" s="2" t="s">
        <v>16</v>
      </c>
      <c r="G5" s="2" t="s">
        <v>18</v>
      </c>
      <c r="H5" s="323">
        <v>52.109471094710948</v>
      </c>
      <c r="I5" s="2" t="s">
        <v>0</v>
      </c>
      <c r="J5" s="2" t="s">
        <v>17</v>
      </c>
      <c r="K5" s="323">
        <v>1809.6877863146656</v>
      </c>
      <c r="L5" s="2" t="s">
        <v>16</v>
      </c>
      <c r="M5" s="2" t="s">
        <v>408</v>
      </c>
    </row>
    <row r="6" spans="1:13" s="2" customFormat="1" x14ac:dyDescent="0.3">
      <c r="A6" s="2" t="s">
        <v>4</v>
      </c>
      <c r="B6" s="8">
        <v>30</v>
      </c>
      <c r="C6" s="2" t="s">
        <v>19</v>
      </c>
      <c r="D6" s="8">
        <v>15</v>
      </c>
      <c r="E6" s="315">
        <v>3246.6692906574394</v>
      </c>
      <c r="F6" s="2" t="s">
        <v>16</v>
      </c>
      <c r="G6" s="2" t="s">
        <v>18</v>
      </c>
      <c r="H6" s="323">
        <v>52.109471094710948</v>
      </c>
      <c r="I6" s="2" t="s">
        <v>0</v>
      </c>
      <c r="J6" s="2" t="s">
        <v>17</v>
      </c>
      <c r="K6" s="323">
        <v>1770.2313684987007</v>
      </c>
      <c r="L6" s="2" t="s">
        <v>16</v>
      </c>
      <c r="M6" s="2" t="s">
        <v>408</v>
      </c>
    </row>
    <row r="7" spans="1:13" s="149" customFormat="1" x14ac:dyDescent="0.3">
      <c r="A7" s="146" t="s">
        <v>1</v>
      </c>
      <c r="B7" s="155">
        <v>30</v>
      </c>
      <c r="C7" s="149" t="s">
        <v>19</v>
      </c>
      <c r="D7" s="148">
        <v>15</v>
      </c>
      <c r="E7" s="316">
        <v>2838.1122923875437</v>
      </c>
      <c r="F7" s="149" t="s">
        <v>16</v>
      </c>
      <c r="G7" s="149" t="s">
        <v>18</v>
      </c>
      <c r="H7" s="324">
        <v>52.109471094710941</v>
      </c>
      <c r="I7" s="149" t="s">
        <v>0</v>
      </c>
      <c r="J7" s="149" t="s">
        <v>17</v>
      </c>
      <c r="K7" s="324">
        <v>1565.0148210785758</v>
      </c>
      <c r="L7" s="149" t="s">
        <v>16</v>
      </c>
      <c r="M7" s="149" t="s">
        <v>408</v>
      </c>
    </row>
    <row r="8" spans="1:13" s="3" customFormat="1" x14ac:dyDescent="0.3">
      <c r="A8" s="3" t="s">
        <v>4</v>
      </c>
      <c r="B8" s="9">
        <v>40.1</v>
      </c>
      <c r="C8" s="3" t="s">
        <v>12</v>
      </c>
      <c r="D8" s="12">
        <v>20</v>
      </c>
      <c r="E8" s="314">
        <v>328660.83837543399</v>
      </c>
      <c r="F8" s="3" t="s">
        <v>16</v>
      </c>
      <c r="G8" s="3" t="s">
        <v>15</v>
      </c>
      <c r="H8" s="322">
        <v>16433.041918771702</v>
      </c>
      <c r="I8" s="3" t="s">
        <v>0</v>
      </c>
      <c r="J8" s="3" t="s">
        <v>14</v>
      </c>
      <c r="K8" s="322"/>
    </row>
    <row r="9" spans="1:13" s="2" customFormat="1" x14ac:dyDescent="0.3">
      <c r="A9" s="2" t="s">
        <v>6</v>
      </c>
      <c r="B9" s="8">
        <v>40.1</v>
      </c>
      <c r="C9" s="2" t="s">
        <v>12</v>
      </c>
      <c r="D9" s="13">
        <v>20</v>
      </c>
      <c r="E9" s="315">
        <v>343421.98067346541</v>
      </c>
      <c r="F9" s="2" t="s">
        <v>16</v>
      </c>
      <c r="G9" s="2" t="s">
        <v>15</v>
      </c>
      <c r="H9" s="323">
        <v>17171.099033673272</v>
      </c>
      <c r="I9" s="2" t="s">
        <v>0</v>
      </c>
      <c r="J9" s="2" t="s">
        <v>14</v>
      </c>
      <c r="K9" s="323"/>
    </row>
    <row r="10" spans="1:13" s="2" customFormat="1" x14ac:dyDescent="0.3">
      <c r="A10" s="2" t="s">
        <v>7</v>
      </c>
      <c r="B10" s="8">
        <v>40.1</v>
      </c>
      <c r="C10" s="2" t="s">
        <v>12</v>
      </c>
      <c r="D10" s="13">
        <v>20</v>
      </c>
      <c r="E10" s="315">
        <v>275854.10609643959</v>
      </c>
      <c r="F10" s="2" t="s">
        <v>16</v>
      </c>
      <c r="G10" s="2" t="s">
        <v>15</v>
      </c>
      <c r="H10" s="323">
        <v>13792.70530482198</v>
      </c>
      <c r="I10" s="2" t="s">
        <v>0</v>
      </c>
      <c r="J10" s="2" t="s">
        <v>14</v>
      </c>
      <c r="K10" s="323"/>
    </row>
    <row r="11" spans="1:13" s="2" customFormat="1" x14ac:dyDescent="0.3">
      <c r="A11" s="2" t="s">
        <v>2</v>
      </c>
      <c r="B11" s="8">
        <v>4.01</v>
      </c>
      <c r="C11" s="2" t="s">
        <v>12</v>
      </c>
      <c r="D11" s="13">
        <v>20</v>
      </c>
      <c r="E11" s="315">
        <v>329647.78677352262</v>
      </c>
      <c r="F11" s="2" t="s">
        <v>16</v>
      </c>
      <c r="G11" s="2" t="s">
        <v>15</v>
      </c>
      <c r="H11" s="323">
        <v>16482.38933867613</v>
      </c>
      <c r="I11" s="2" t="s">
        <v>0</v>
      </c>
      <c r="J11" s="2" t="s">
        <v>14</v>
      </c>
      <c r="K11" s="323"/>
    </row>
    <row r="12" spans="1:13" s="149" customFormat="1" x14ac:dyDescent="0.3">
      <c r="A12" s="146" t="s">
        <v>1</v>
      </c>
      <c r="B12" s="155">
        <v>40.1</v>
      </c>
      <c r="C12" s="149" t="s">
        <v>12</v>
      </c>
      <c r="D12" s="157">
        <v>20</v>
      </c>
      <c r="E12" s="316">
        <v>319396.1779797154</v>
      </c>
      <c r="F12" s="149" t="s">
        <v>16</v>
      </c>
      <c r="G12" s="149" t="s">
        <v>15</v>
      </c>
      <c r="H12" s="316">
        <v>15969.808898985772</v>
      </c>
      <c r="I12" s="149" t="s">
        <v>0</v>
      </c>
      <c r="J12" s="149" t="s">
        <v>14</v>
      </c>
      <c r="K12" s="324"/>
    </row>
    <row r="13" spans="1:13" s="3" customFormat="1" x14ac:dyDescent="0.3">
      <c r="A13" s="3" t="s">
        <v>4</v>
      </c>
      <c r="B13" s="9">
        <v>40.1</v>
      </c>
      <c r="C13" s="3" t="s">
        <v>12</v>
      </c>
      <c r="D13" s="12">
        <v>20</v>
      </c>
      <c r="E13" s="314">
        <v>163.00445335207613</v>
      </c>
      <c r="F13" s="3" t="s">
        <v>11</v>
      </c>
      <c r="G13" s="3" t="s">
        <v>15</v>
      </c>
      <c r="H13" s="322">
        <v>8.1502226676038081</v>
      </c>
      <c r="I13" s="3" t="s">
        <v>8</v>
      </c>
      <c r="J13" s="3" t="s">
        <v>14</v>
      </c>
      <c r="K13" s="322"/>
    </row>
    <row r="14" spans="1:13" s="2" customFormat="1" x14ac:dyDescent="0.3">
      <c r="A14" s="2" t="s">
        <v>6</v>
      </c>
      <c r="B14" s="8">
        <v>40.1</v>
      </c>
      <c r="C14" s="2" t="s">
        <v>12</v>
      </c>
      <c r="D14" s="13">
        <v>20</v>
      </c>
      <c r="E14" s="315">
        <v>169.01430553092561</v>
      </c>
      <c r="F14" s="2" t="s">
        <v>11</v>
      </c>
      <c r="G14" s="2" t="s">
        <v>15</v>
      </c>
      <c r="H14" s="323">
        <v>8.4507152765462816</v>
      </c>
      <c r="I14" s="2" t="s">
        <v>8</v>
      </c>
      <c r="J14" s="2" t="s">
        <v>14</v>
      </c>
      <c r="K14" s="323"/>
    </row>
    <row r="15" spans="1:13" s="2" customFormat="1" x14ac:dyDescent="0.3">
      <c r="A15" s="2" t="s">
        <v>7</v>
      </c>
      <c r="B15" s="8">
        <v>40.1</v>
      </c>
      <c r="C15" s="2" t="s">
        <v>12</v>
      </c>
      <c r="D15" s="13">
        <v>20</v>
      </c>
      <c r="E15" s="315">
        <v>136.78577419261822</v>
      </c>
      <c r="F15" s="2" t="s">
        <v>11</v>
      </c>
      <c r="G15" s="2" t="s">
        <v>15</v>
      </c>
      <c r="H15" s="323">
        <v>6.8392887096309112</v>
      </c>
      <c r="I15" s="2" t="s">
        <v>8</v>
      </c>
      <c r="J15" s="2" t="s">
        <v>14</v>
      </c>
      <c r="K15" s="323"/>
    </row>
    <row r="16" spans="1:13" s="2" customFormat="1" x14ac:dyDescent="0.3">
      <c r="A16" s="2" t="s">
        <v>2</v>
      </c>
      <c r="B16" s="8">
        <v>4.01</v>
      </c>
      <c r="C16" s="2" t="s">
        <v>12</v>
      </c>
      <c r="D16" s="13">
        <v>20</v>
      </c>
      <c r="E16" s="315">
        <v>163.36467768166091</v>
      </c>
      <c r="F16" s="2" t="s">
        <v>11</v>
      </c>
      <c r="G16" s="2" t="s">
        <v>15</v>
      </c>
      <c r="H16" s="323">
        <v>8.168233884083044</v>
      </c>
      <c r="I16" s="2" t="s">
        <v>8</v>
      </c>
      <c r="J16" s="2" t="s">
        <v>14</v>
      </c>
      <c r="K16" s="323"/>
    </row>
    <row r="17" spans="1:12" s="4" customFormat="1" x14ac:dyDescent="0.3">
      <c r="A17" s="11" t="s">
        <v>1</v>
      </c>
      <c r="B17" s="155">
        <v>40.1</v>
      </c>
      <c r="C17" s="4" t="s">
        <v>12</v>
      </c>
      <c r="D17" s="14">
        <v>20</v>
      </c>
      <c r="E17" s="316">
        <v>158.04230268932019</v>
      </c>
      <c r="F17" s="4" t="s">
        <v>11</v>
      </c>
      <c r="G17" s="4" t="s">
        <v>10</v>
      </c>
      <c r="H17" s="316">
        <v>7.902115134466011</v>
      </c>
      <c r="I17" s="4" t="s">
        <v>8</v>
      </c>
      <c r="J17" s="4" t="s">
        <v>9</v>
      </c>
      <c r="K17" s="325"/>
      <c r="L17" s="11"/>
    </row>
    <row r="18" spans="1:12" s="3" customFormat="1" x14ac:dyDescent="0.3">
      <c r="A18" s="3" t="s">
        <v>4</v>
      </c>
      <c r="B18" s="9">
        <v>40.200000000000003</v>
      </c>
      <c r="C18" s="3" t="s">
        <v>13</v>
      </c>
      <c r="D18" s="12">
        <v>20</v>
      </c>
      <c r="E18" s="314">
        <v>91324.645328719722</v>
      </c>
      <c r="F18" s="3" t="s">
        <v>16</v>
      </c>
      <c r="G18" s="2" t="s">
        <v>15</v>
      </c>
      <c r="H18" s="322">
        <v>4566.2322664359863</v>
      </c>
      <c r="I18" s="3" t="s">
        <v>0</v>
      </c>
      <c r="J18" s="3" t="s">
        <v>14</v>
      </c>
      <c r="K18" s="322"/>
    </row>
    <row r="19" spans="1:12" s="2" customFormat="1" x14ac:dyDescent="0.3">
      <c r="A19" s="2" t="s">
        <v>3</v>
      </c>
      <c r="B19" s="8">
        <v>40.200000000000003</v>
      </c>
      <c r="C19" s="2" t="s">
        <v>13</v>
      </c>
      <c r="D19" s="13">
        <v>20</v>
      </c>
      <c r="E19" s="315">
        <v>151095.54705882352</v>
      </c>
      <c r="F19" s="2" t="s">
        <v>16</v>
      </c>
      <c r="G19" s="2" t="s">
        <v>15</v>
      </c>
      <c r="H19" s="323">
        <v>7554.7773529411761</v>
      </c>
      <c r="I19" s="2" t="s">
        <v>0</v>
      </c>
      <c r="J19" s="2" t="s">
        <v>14</v>
      </c>
      <c r="K19" s="323"/>
    </row>
    <row r="20" spans="1:12" s="2" customFormat="1" x14ac:dyDescent="0.3">
      <c r="A20" s="2" t="s">
        <v>6</v>
      </c>
      <c r="B20" s="8">
        <v>40.200000000000003</v>
      </c>
      <c r="C20" s="2" t="s">
        <v>13</v>
      </c>
      <c r="D20" s="13">
        <v>20</v>
      </c>
      <c r="E20" s="315">
        <v>94632.467128027682</v>
      </c>
      <c r="F20" s="2" t="s">
        <v>16</v>
      </c>
      <c r="G20" s="2" t="s">
        <v>15</v>
      </c>
      <c r="H20" s="323">
        <v>4731.6233564013846</v>
      </c>
      <c r="I20" s="2" t="s">
        <v>0</v>
      </c>
      <c r="J20" s="2" t="s">
        <v>14</v>
      </c>
      <c r="K20" s="323"/>
    </row>
    <row r="21" spans="1:12" s="2" customFormat="1" x14ac:dyDescent="0.3">
      <c r="A21" s="2" t="s">
        <v>7</v>
      </c>
      <c r="B21" s="8">
        <v>40.200000000000003</v>
      </c>
      <c r="C21" s="2" t="s">
        <v>13</v>
      </c>
      <c r="D21" s="13">
        <v>20</v>
      </c>
      <c r="E21" s="315">
        <v>45446.595155709343</v>
      </c>
      <c r="F21" s="2" t="s">
        <v>16</v>
      </c>
      <c r="G21" s="2" t="s">
        <v>15</v>
      </c>
      <c r="H21" s="323">
        <v>2272.3297577854673</v>
      </c>
      <c r="I21" s="2" t="s">
        <v>0</v>
      </c>
      <c r="J21" s="2" t="s">
        <v>14</v>
      </c>
      <c r="K21" s="323"/>
    </row>
    <row r="22" spans="1:12" s="2" customFormat="1" x14ac:dyDescent="0.3">
      <c r="A22" s="2" t="s">
        <v>2</v>
      </c>
      <c r="B22" s="8">
        <v>40.200000000000003</v>
      </c>
      <c r="C22" s="2" t="s">
        <v>13</v>
      </c>
      <c r="D22" s="13">
        <v>20</v>
      </c>
      <c r="E22" s="315">
        <v>94488.648788927327</v>
      </c>
      <c r="F22" s="2" t="s">
        <v>16</v>
      </c>
      <c r="G22" s="2" t="s">
        <v>15</v>
      </c>
      <c r="H22" s="323">
        <v>4724.4324394463665</v>
      </c>
      <c r="I22" s="2" t="s">
        <v>0</v>
      </c>
      <c r="J22" s="2" t="s">
        <v>14</v>
      </c>
      <c r="K22" s="323"/>
    </row>
    <row r="23" spans="1:12" s="2" customFormat="1" x14ac:dyDescent="0.3">
      <c r="A23" s="2" t="s">
        <v>5</v>
      </c>
      <c r="B23" s="8">
        <v>40.200000000000003</v>
      </c>
      <c r="C23" s="2" t="s">
        <v>13</v>
      </c>
      <c r="D23" s="13">
        <v>20</v>
      </c>
      <c r="E23" s="315">
        <v>49185.871972318331</v>
      </c>
      <c r="F23" s="2" t="s">
        <v>16</v>
      </c>
      <c r="G23" s="2" t="s">
        <v>15</v>
      </c>
      <c r="H23" s="323">
        <v>2459.2935986159168</v>
      </c>
      <c r="I23" s="2" t="s">
        <v>0</v>
      </c>
      <c r="J23" s="2" t="s">
        <v>14</v>
      </c>
      <c r="K23" s="323"/>
    </row>
    <row r="24" spans="1:12" s="149" customFormat="1" x14ac:dyDescent="0.3">
      <c r="A24" s="146" t="s">
        <v>1</v>
      </c>
      <c r="B24" s="155">
        <v>40.200000000000003</v>
      </c>
      <c r="C24" s="149" t="s">
        <v>13</v>
      </c>
      <c r="D24" s="157">
        <v>20</v>
      </c>
      <c r="E24" s="316">
        <v>87695.629238754322</v>
      </c>
      <c r="F24" s="149" t="s">
        <v>16</v>
      </c>
      <c r="G24" s="149" t="s">
        <v>15</v>
      </c>
      <c r="H24" s="316">
        <v>4384.7814619377159</v>
      </c>
      <c r="I24" s="149" t="s">
        <v>0</v>
      </c>
      <c r="J24" s="149" t="s">
        <v>14</v>
      </c>
      <c r="K24" s="324"/>
    </row>
    <row r="25" spans="1:12" s="3" customFormat="1" x14ac:dyDescent="0.3">
      <c r="A25" s="3" t="s">
        <v>4</v>
      </c>
      <c r="B25" s="9">
        <v>40.200000000000003</v>
      </c>
      <c r="C25" s="3" t="s">
        <v>13</v>
      </c>
      <c r="D25" s="12">
        <v>20</v>
      </c>
      <c r="E25" s="314">
        <v>45.188885262593757</v>
      </c>
      <c r="F25" s="3" t="s">
        <v>11</v>
      </c>
      <c r="G25" s="2" t="s">
        <v>15</v>
      </c>
      <c r="H25" s="314">
        <v>2.259444263129688</v>
      </c>
      <c r="I25" s="3" t="s">
        <v>8</v>
      </c>
      <c r="J25" s="3" t="s">
        <v>14</v>
      </c>
      <c r="K25" s="322"/>
    </row>
    <row r="26" spans="1:12" s="2" customFormat="1" x14ac:dyDescent="0.3">
      <c r="A26" s="2" t="s">
        <v>3</v>
      </c>
      <c r="B26" s="8">
        <v>40.200000000000003</v>
      </c>
      <c r="C26" s="2" t="s">
        <v>13</v>
      </c>
      <c r="D26" s="13">
        <v>20</v>
      </c>
      <c r="E26" s="315">
        <v>74.764476939970081</v>
      </c>
      <c r="F26" s="2" t="s">
        <v>11</v>
      </c>
      <c r="G26" s="2" t="s">
        <v>15</v>
      </c>
      <c r="H26" s="315">
        <v>3.7382238469985039</v>
      </c>
      <c r="I26" s="2" t="s">
        <v>8</v>
      </c>
      <c r="J26" s="2" t="s">
        <v>14</v>
      </c>
      <c r="K26" s="323"/>
    </row>
    <row r="27" spans="1:12" s="2" customFormat="1" x14ac:dyDescent="0.3">
      <c r="A27" s="2" t="s">
        <v>6</v>
      </c>
      <c r="B27" s="8">
        <v>40.200000000000003</v>
      </c>
      <c r="C27" s="2" t="s">
        <v>13</v>
      </c>
      <c r="D27" s="13">
        <v>20</v>
      </c>
      <c r="E27" s="315">
        <v>46.825648035884555</v>
      </c>
      <c r="F27" s="2" t="s">
        <v>11</v>
      </c>
      <c r="G27" s="2" t="s">
        <v>15</v>
      </c>
      <c r="H27" s="315">
        <v>2.3412824017942282</v>
      </c>
      <c r="I27" s="2" t="s">
        <v>8</v>
      </c>
      <c r="J27" s="2" t="s">
        <v>14</v>
      </c>
      <c r="K27" s="323"/>
    </row>
    <row r="28" spans="1:12" s="2" customFormat="1" x14ac:dyDescent="0.3">
      <c r="A28" s="2" t="s">
        <v>7</v>
      </c>
      <c r="B28" s="8">
        <v>40.200000000000003</v>
      </c>
      <c r="C28" s="2" t="s">
        <v>13</v>
      </c>
      <c r="D28" s="13">
        <v>20</v>
      </c>
      <c r="E28" s="315">
        <v>22.487697233038784</v>
      </c>
      <c r="F28" s="2" t="s">
        <v>11</v>
      </c>
      <c r="G28" s="2" t="s">
        <v>15</v>
      </c>
      <c r="H28" s="315">
        <v>1.1243848616519392</v>
      </c>
      <c r="I28" s="2" t="s">
        <v>8</v>
      </c>
      <c r="J28" s="2" t="s">
        <v>14</v>
      </c>
      <c r="K28" s="323"/>
    </row>
    <row r="29" spans="1:12" s="2" customFormat="1" x14ac:dyDescent="0.3">
      <c r="A29" s="2" t="s">
        <v>2</v>
      </c>
      <c r="B29" s="8">
        <v>40.200000000000003</v>
      </c>
      <c r="C29" s="2" t="s">
        <v>13</v>
      </c>
      <c r="D29" s="13">
        <v>20</v>
      </c>
      <c r="E29" s="315">
        <v>46.754484437045818</v>
      </c>
      <c r="F29" s="2" t="s">
        <v>11</v>
      </c>
      <c r="G29" s="2" t="s">
        <v>15</v>
      </c>
      <c r="H29" s="315">
        <v>2.3377242218522913</v>
      </c>
      <c r="I29" s="2" t="s">
        <v>8</v>
      </c>
      <c r="J29" s="2" t="s">
        <v>14</v>
      </c>
      <c r="K29" s="323"/>
    </row>
    <row r="30" spans="1:12" s="2" customFormat="1" x14ac:dyDescent="0.3">
      <c r="A30" s="2" t="s">
        <v>5</v>
      </c>
      <c r="B30" s="8">
        <v>40.200000000000003</v>
      </c>
      <c r="C30" s="2" t="s">
        <v>13</v>
      </c>
      <c r="D30" s="13">
        <v>20</v>
      </c>
      <c r="E30" s="315">
        <v>24.337950802845768</v>
      </c>
      <c r="F30" s="2" t="s">
        <v>11</v>
      </c>
      <c r="G30" s="2" t="s">
        <v>15</v>
      </c>
      <c r="H30" s="315">
        <v>1.2168975401422886</v>
      </c>
      <c r="I30" s="2" t="s">
        <v>8</v>
      </c>
      <c r="J30" s="2" t="s">
        <v>14</v>
      </c>
      <c r="K30" s="323"/>
    </row>
    <row r="31" spans="1:12" s="4" customFormat="1" x14ac:dyDescent="0.3">
      <c r="A31" s="11" t="s">
        <v>1</v>
      </c>
      <c r="B31" s="155">
        <v>40.200000000000003</v>
      </c>
      <c r="C31" s="4" t="s">
        <v>13</v>
      </c>
      <c r="D31" s="14">
        <v>20</v>
      </c>
      <c r="E31" s="316">
        <v>43.393190451896459</v>
      </c>
      <c r="F31" s="4" t="s">
        <v>11</v>
      </c>
      <c r="G31" s="4" t="s">
        <v>10</v>
      </c>
      <c r="H31" s="316">
        <v>2.1696595225948232</v>
      </c>
      <c r="I31" s="4" t="s">
        <v>8</v>
      </c>
      <c r="J31" s="4" t="s">
        <v>9</v>
      </c>
      <c r="K31" s="325"/>
      <c r="L31" s="11"/>
    </row>
    <row r="32" spans="1:12" s="85" customFormat="1" x14ac:dyDescent="0.3">
      <c r="A32" s="84" t="s">
        <v>1</v>
      </c>
      <c r="B32" s="156">
        <v>40.299999999999997</v>
      </c>
      <c r="C32" s="85" t="s">
        <v>35</v>
      </c>
      <c r="D32" s="86">
        <v>20</v>
      </c>
      <c r="E32" s="317">
        <v>100.71774657060833</v>
      </c>
      <c r="F32" s="85" t="s">
        <v>11</v>
      </c>
      <c r="G32" s="85" t="s">
        <v>10</v>
      </c>
      <c r="H32" s="317">
        <v>5.0358873285304169</v>
      </c>
      <c r="I32" s="85" t="s">
        <v>8</v>
      </c>
      <c r="J32" s="85" t="s">
        <v>9</v>
      </c>
      <c r="K32" s="328"/>
      <c r="L32" s="84"/>
    </row>
    <row r="33" spans="1:12" s="2" customFormat="1" x14ac:dyDescent="0.3">
      <c r="A33" s="2" t="s">
        <v>4</v>
      </c>
      <c r="B33" s="8">
        <v>40.4</v>
      </c>
      <c r="C33" s="2" t="s">
        <v>33</v>
      </c>
      <c r="D33" s="13">
        <v>20</v>
      </c>
      <c r="E33" s="315">
        <v>328660.83837543399</v>
      </c>
      <c r="F33" s="2" t="s">
        <v>16</v>
      </c>
      <c r="G33" s="2" t="s">
        <v>15</v>
      </c>
      <c r="H33" s="323">
        <v>16433.041918771702</v>
      </c>
      <c r="I33" s="2" t="s">
        <v>0</v>
      </c>
      <c r="J33" s="2" t="s">
        <v>14</v>
      </c>
      <c r="K33" s="323"/>
    </row>
    <row r="34" spans="1:12" s="2" customFormat="1" x14ac:dyDescent="0.3">
      <c r="A34" s="2" t="s">
        <v>6</v>
      </c>
      <c r="B34" s="8">
        <v>40.4</v>
      </c>
      <c r="C34" s="2" t="s">
        <v>33</v>
      </c>
      <c r="D34" s="13">
        <v>20</v>
      </c>
      <c r="E34" s="315">
        <v>343421.98067346541</v>
      </c>
      <c r="F34" s="2" t="s">
        <v>16</v>
      </c>
      <c r="G34" s="2" t="s">
        <v>15</v>
      </c>
      <c r="H34" s="323">
        <v>17171.099033673272</v>
      </c>
      <c r="I34" s="2" t="s">
        <v>0</v>
      </c>
      <c r="J34" s="2" t="s">
        <v>14</v>
      </c>
      <c r="K34" s="323"/>
    </row>
    <row r="35" spans="1:12" s="2" customFormat="1" x14ac:dyDescent="0.3">
      <c r="A35" s="2" t="s">
        <v>7</v>
      </c>
      <c r="B35" s="8">
        <v>40.4</v>
      </c>
      <c r="C35" s="2" t="s">
        <v>33</v>
      </c>
      <c r="D35" s="13">
        <v>20</v>
      </c>
      <c r="E35" s="315">
        <v>275854.10609643959</v>
      </c>
      <c r="F35" s="2" t="s">
        <v>16</v>
      </c>
      <c r="G35" s="2" t="s">
        <v>15</v>
      </c>
      <c r="H35" s="323">
        <v>13792.70530482198</v>
      </c>
      <c r="I35" s="2" t="s">
        <v>0</v>
      </c>
      <c r="J35" s="2" t="s">
        <v>14</v>
      </c>
      <c r="K35" s="323"/>
    </row>
    <row r="36" spans="1:12" s="2" customFormat="1" x14ac:dyDescent="0.3">
      <c r="A36" s="2" t="s">
        <v>2</v>
      </c>
      <c r="B36" s="8">
        <v>40.4</v>
      </c>
      <c r="C36" s="2" t="s">
        <v>33</v>
      </c>
      <c r="D36" s="13">
        <v>20</v>
      </c>
      <c r="E36" s="315">
        <v>329647.78677352262</v>
      </c>
      <c r="F36" s="2" t="s">
        <v>16</v>
      </c>
      <c r="G36" s="2" t="s">
        <v>15</v>
      </c>
      <c r="H36" s="323">
        <v>16482.38933867613</v>
      </c>
      <c r="I36" s="2" t="s">
        <v>0</v>
      </c>
      <c r="J36" s="2" t="s">
        <v>14</v>
      </c>
      <c r="K36" s="323"/>
    </row>
    <row r="37" spans="1:12" s="149" customFormat="1" x14ac:dyDescent="0.3">
      <c r="A37" s="146" t="s">
        <v>1</v>
      </c>
      <c r="B37" s="155">
        <v>40.4</v>
      </c>
      <c r="C37" s="149" t="s">
        <v>33</v>
      </c>
      <c r="D37" s="157">
        <v>20</v>
      </c>
      <c r="E37" s="316">
        <v>319396.1779797154</v>
      </c>
      <c r="F37" s="149" t="s">
        <v>16</v>
      </c>
      <c r="G37" s="149" t="s">
        <v>15</v>
      </c>
      <c r="H37" s="316">
        <v>15969.808898985772</v>
      </c>
      <c r="I37" s="149" t="s">
        <v>0</v>
      </c>
      <c r="J37" s="149" t="s">
        <v>14</v>
      </c>
      <c r="K37" s="324"/>
    </row>
    <row r="38" spans="1:12" s="4" customFormat="1" x14ac:dyDescent="0.3">
      <c r="A38" s="11" t="s">
        <v>1</v>
      </c>
      <c r="B38" s="155">
        <v>40.4</v>
      </c>
      <c r="C38" s="4" t="s">
        <v>33</v>
      </c>
      <c r="D38" s="14">
        <v>20</v>
      </c>
      <c r="E38" s="318">
        <v>1076.2051217675119</v>
      </c>
      <c r="F38" s="4" t="s">
        <v>11</v>
      </c>
      <c r="G38" s="4" t="s">
        <v>10</v>
      </c>
      <c r="H38" s="325">
        <v>53.810256088375596</v>
      </c>
      <c r="I38" s="4" t="s">
        <v>8</v>
      </c>
      <c r="J38" s="4" t="s">
        <v>9</v>
      </c>
      <c r="K38" s="325"/>
      <c r="L38" s="11"/>
    </row>
    <row r="39" spans="1:12" s="3" customFormat="1" x14ac:dyDescent="0.3">
      <c r="A39" s="3" t="s">
        <v>4</v>
      </c>
      <c r="B39" s="9">
        <v>40.5</v>
      </c>
      <c r="C39" s="3" t="s">
        <v>34</v>
      </c>
      <c r="D39" s="12">
        <v>20</v>
      </c>
      <c r="E39" s="314">
        <v>91324.645328719722</v>
      </c>
      <c r="F39" s="3" t="s">
        <v>16</v>
      </c>
      <c r="G39" s="2" t="s">
        <v>15</v>
      </c>
      <c r="H39" s="314">
        <v>4566.2322664359863</v>
      </c>
      <c r="I39" s="3" t="s">
        <v>0</v>
      </c>
      <c r="J39" s="3" t="s">
        <v>14</v>
      </c>
      <c r="K39" s="322"/>
    </row>
    <row r="40" spans="1:12" s="2" customFormat="1" x14ac:dyDescent="0.3">
      <c r="A40" s="2" t="s">
        <v>3</v>
      </c>
      <c r="B40" s="8">
        <v>40.5</v>
      </c>
      <c r="C40" s="2" t="s">
        <v>34</v>
      </c>
      <c r="D40" s="13">
        <v>20</v>
      </c>
      <c r="E40" s="315">
        <v>151095.54705882352</v>
      </c>
      <c r="F40" s="2" t="s">
        <v>16</v>
      </c>
      <c r="G40" s="2" t="s">
        <v>15</v>
      </c>
      <c r="H40" s="315">
        <v>7554.7773529411761</v>
      </c>
      <c r="I40" s="2" t="s">
        <v>0</v>
      </c>
      <c r="J40" s="2" t="s">
        <v>14</v>
      </c>
      <c r="K40" s="323"/>
    </row>
    <row r="41" spans="1:12" s="2" customFormat="1" x14ac:dyDescent="0.3">
      <c r="A41" s="2" t="s">
        <v>6</v>
      </c>
      <c r="B41" s="8">
        <v>40.5</v>
      </c>
      <c r="C41" s="2" t="s">
        <v>34</v>
      </c>
      <c r="D41" s="13">
        <v>20</v>
      </c>
      <c r="E41" s="315">
        <v>94632.467128027682</v>
      </c>
      <c r="F41" s="2" t="s">
        <v>16</v>
      </c>
      <c r="G41" s="2" t="s">
        <v>15</v>
      </c>
      <c r="H41" s="315">
        <v>4731.6233564013846</v>
      </c>
      <c r="I41" s="2" t="s">
        <v>0</v>
      </c>
      <c r="J41" s="2" t="s">
        <v>14</v>
      </c>
      <c r="K41" s="323"/>
    </row>
    <row r="42" spans="1:12" s="2" customFormat="1" x14ac:dyDescent="0.3">
      <c r="A42" s="2" t="s">
        <v>7</v>
      </c>
      <c r="B42" s="8">
        <v>40.5</v>
      </c>
      <c r="C42" s="2" t="s">
        <v>34</v>
      </c>
      <c r="D42" s="13">
        <v>20</v>
      </c>
      <c r="E42" s="315">
        <v>45446.595155709343</v>
      </c>
      <c r="F42" s="2" t="s">
        <v>16</v>
      </c>
      <c r="G42" s="2" t="s">
        <v>15</v>
      </c>
      <c r="H42" s="315">
        <v>2272.3297577854673</v>
      </c>
      <c r="I42" s="2" t="s">
        <v>0</v>
      </c>
      <c r="J42" s="2" t="s">
        <v>14</v>
      </c>
      <c r="K42" s="323"/>
    </row>
    <row r="43" spans="1:12" s="2" customFormat="1" x14ac:dyDescent="0.3">
      <c r="A43" s="2" t="s">
        <v>2</v>
      </c>
      <c r="B43" s="8">
        <v>40.5</v>
      </c>
      <c r="C43" s="2" t="s">
        <v>34</v>
      </c>
      <c r="D43" s="13">
        <v>20</v>
      </c>
      <c r="E43" s="315">
        <v>94488.648788927327</v>
      </c>
      <c r="F43" s="2" t="s">
        <v>16</v>
      </c>
      <c r="G43" s="2" t="s">
        <v>15</v>
      </c>
      <c r="H43" s="315">
        <v>4724.4324394463665</v>
      </c>
      <c r="I43" s="2" t="s">
        <v>0</v>
      </c>
      <c r="J43" s="2" t="s">
        <v>14</v>
      </c>
      <c r="K43" s="323"/>
    </row>
    <row r="44" spans="1:12" s="2" customFormat="1" x14ac:dyDescent="0.3">
      <c r="A44" s="2" t="s">
        <v>5</v>
      </c>
      <c r="B44" s="8">
        <v>40.5</v>
      </c>
      <c r="C44" s="2" t="s">
        <v>34</v>
      </c>
      <c r="D44" s="13">
        <v>20</v>
      </c>
      <c r="E44" s="315">
        <v>49185.871972318331</v>
      </c>
      <c r="F44" s="2" t="s">
        <v>16</v>
      </c>
      <c r="G44" s="2" t="s">
        <v>15</v>
      </c>
      <c r="H44" s="315">
        <v>2459.2935986159168</v>
      </c>
      <c r="I44" s="2" t="s">
        <v>0</v>
      </c>
      <c r="J44" s="2" t="s">
        <v>14</v>
      </c>
      <c r="K44" s="323"/>
    </row>
    <row r="45" spans="1:12" s="149" customFormat="1" x14ac:dyDescent="0.3">
      <c r="A45" s="146" t="s">
        <v>1</v>
      </c>
      <c r="B45" s="155">
        <v>40.5</v>
      </c>
      <c r="C45" s="149" t="s">
        <v>34</v>
      </c>
      <c r="D45" s="157">
        <v>20</v>
      </c>
      <c r="E45" s="316">
        <v>87695.629238754322</v>
      </c>
      <c r="F45" s="149" t="s">
        <v>16</v>
      </c>
      <c r="G45" s="149" t="s">
        <v>15</v>
      </c>
      <c r="H45" s="316">
        <v>4384.7814619377159</v>
      </c>
      <c r="I45" s="149" t="s">
        <v>0</v>
      </c>
      <c r="J45" s="149" t="s">
        <v>14</v>
      </c>
      <c r="K45" s="324"/>
    </row>
    <row r="46" spans="1:12" s="4" customFormat="1" x14ac:dyDescent="0.3">
      <c r="A46" s="11" t="s">
        <v>1</v>
      </c>
      <c r="B46" s="155">
        <v>40.5</v>
      </c>
      <c r="C46" s="4" t="s">
        <v>34</v>
      </c>
      <c r="D46" s="14">
        <v>20</v>
      </c>
      <c r="E46" s="318">
        <v>104.1488827516947</v>
      </c>
      <c r="F46" s="4" t="s">
        <v>11</v>
      </c>
      <c r="G46" s="4" t="s">
        <v>10</v>
      </c>
      <c r="H46" s="325">
        <v>5.2074441375847353</v>
      </c>
      <c r="I46" s="4" t="s">
        <v>8</v>
      </c>
      <c r="J46" s="4" t="s">
        <v>9</v>
      </c>
      <c r="K46" s="325"/>
      <c r="L46" s="11"/>
    </row>
    <row r="47" spans="1:12" s="4" customFormat="1" x14ac:dyDescent="0.3">
      <c r="A47" s="11" t="s">
        <v>1</v>
      </c>
      <c r="B47" s="155">
        <v>40.6</v>
      </c>
      <c r="C47" s="4" t="s">
        <v>36</v>
      </c>
      <c r="D47" s="14">
        <v>20</v>
      </c>
      <c r="E47" s="318">
        <v>590.17700225960323</v>
      </c>
      <c r="F47" s="4" t="s">
        <v>11</v>
      </c>
      <c r="G47" s="4" t="s">
        <v>10</v>
      </c>
      <c r="H47" s="318">
        <v>29.508850112980166</v>
      </c>
      <c r="I47" s="4" t="s">
        <v>8</v>
      </c>
      <c r="J47" s="4" t="s">
        <v>9</v>
      </c>
      <c r="K47" s="325"/>
      <c r="L47" s="11"/>
    </row>
    <row r="48" spans="1:12" s="4" customFormat="1" x14ac:dyDescent="0.3">
      <c r="A48" s="11" t="s">
        <v>1</v>
      </c>
      <c r="B48" s="155">
        <v>15.1</v>
      </c>
      <c r="C48" s="4" t="s">
        <v>124</v>
      </c>
      <c r="D48" s="14">
        <v>20</v>
      </c>
      <c r="E48" s="318">
        <v>513.24028340599932</v>
      </c>
      <c r="F48" s="4" t="s">
        <v>11</v>
      </c>
      <c r="G48" s="4" t="s">
        <v>10</v>
      </c>
      <c r="H48" s="325">
        <v>64.155035425749915</v>
      </c>
      <c r="I48" s="4" t="s">
        <v>8</v>
      </c>
      <c r="J48" s="4" t="s">
        <v>9</v>
      </c>
      <c r="K48" s="325"/>
      <c r="L48" s="11"/>
    </row>
    <row r="49" spans="1:13" x14ac:dyDescent="0.3">
      <c r="A49" s="11" t="s">
        <v>1</v>
      </c>
      <c r="B49" s="155">
        <v>15.2</v>
      </c>
      <c r="C49" s="4" t="s">
        <v>125</v>
      </c>
      <c r="D49" s="14">
        <v>20</v>
      </c>
      <c r="E49" s="318">
        <v>513.24028340599932</v>
      </c>
      <c r="F49" s="4" t="s">
        <v>11</v>
      </c>
      <c r="G49" s="4" t="s">
        <v>10</v>
      </c>
      <c r="H49" s="325">
        <v>64.155035425749915</v>
      </c>
      <c r="I49" s="4" t="s">
        <v>8</v>
      </c>
      <c r="J49" s="4" t="s">
        <v>9</v>
      </c>
      <c r="K49" s="325"/>
      <c r="L49" s="11"/>
    </row>
    <row r="50" spans="1:13" x14ac:dyDescent="0.3">
      <c r="A50" s="11" t="s">
        <v>1</v>
      </c>
      <c r="B50" s="155">
        <v>15.3</v>
      </c>
      <c r="C50" s="4" t="s">
        <v>106</v>
      </c>
      <c r="D50" s="14">
        <v>20</v>
      </c>
      <c r="E50" s="318">
        <v>513.24028340599932</v>
      </c>
      <c r="F50" s="4" t="s">
        <v>11</v>
      </c>
      <c r="G50" s="4" t="s">
        <v>10</v>
      </c>
      <c r="H50" s="325">
        <v>64.155035425749915</v>
      </c>
      <c r="I50" s="4" t="s">
        <v>8</v>
      </c>
      <c r="J50" s="4" t="s">
        <v>9</v>
      </c>
      <c r="K50" s="325"/>
      <c r="L50" s="11"/>
    </row>
    <row r="51" spans="1:13" x14ac:dyDescent="0.3">
      <c r="A51" s="11" t="s">
        <v>1</v>
      </c>
      <c r="B51" s="155">
        <v>15.4</v>
      </c>
      <c r="C51" s="4" t="s">
        <v>126</v>
      </c>
      <c r="D51" s="14">
        <v>20</v>
      </c>
      <c r="E51" s="318">
        <v>513.24028340599932</v>
      </c>
      <c r="F51" s="4" t="s">
        <v>11</v>
      </c>
      <c r="G51" s="4" t="s">
        <v>10</v>
      </c>
      <c r="H51" s="325">
        <v>64.155035425749915</v>
      </c>
      <c r="I51" s="4" t="s">
        <v>8</v>
      </c>
      <c r="J51" s="4" t="s">
        <v>9</v>
      </c>
      <c r="K51" s="325"/>
      <c r="L51" s="11"/>
    </row>
    <row r="52" spans="1:13" s="150" customFormat="1" x14ac:dyDescent="0.3">
      <c r="A52" s="146" t="s">
        <v>1</v>
      </c>
      <c r="B52" s="147"/>
      <c r="C52" s="147" t="s">
        <v>198</v>
      </c>
      <c r="D52" s="151">
        <v>1</v>
      </c>
      <c r="E52" s="319">
        <v>56.453942512227705</v>
      </c>
      <c r="F52" s="152" t="s">
        <v>16</v>
      </c>
      <c r="G52" s="149" t="s">
        <v>199</v>
      </c>
      <c r="H52" s="326" t="s">
        <v>200</v>
      </c>
      <c r="I52" s="148"/>
      <c r="J52" s="149"/>
      <c r="K52" s="326"/>
      <c r="L52" s="147"/>
      <c r="M52" s="147"/>
    </row>
    <row r="53" spans="1:13" s="150" customFormat="1" x14ac:dyDescent="0.3">
      <c r="A53" s="146" t="s">
        <v>1</v>
      </c>
      <c r="B53" s="147"/>
      <c r="C53" s="147" t="s">
        <v>202</v>
      </c>
      <c r="D53" s="151">
        <v>20</v>
      </c>
      <c r="E53" s="319">
        <v>18986.208695965546</v>
      </c>
      <c r="F53" s="152" t="s">
        <v>16</v>
      </c>
      <c r="G53" s="149" t="s">
        <v>203</v>
      </c>
      <c r="H53" s="326">
        <v>113.67147601144421</v>
      </c>
      <c r="I53" s="152" t="s">
        <v>0</v>
      </c>
      <c r="J53" s="149" t="s">
        <v>201</v>
      </c>
      <c r="K53" s="326"/>
      <c r="L53" s="147"/>
      <c r="M53" s="147"/>
    </row>
    <row r="54" spans="1:13" s="145" customFormat="1" x14ac:dyDescent="0.3">
      <c r="A54" s="147" t="s">
        <v>1</v>
      </c>
      <c r="B54" s="147"/>
      <c r="C54" s="147" t="s">
        <v>204</v>
      </c>
      <c r="D54" s="151">
        <v>2.25</v>
      </c>
      <c r="E54" s="320">
        <v>-6.9818956407037332E-3</v>
      </c>
      <c r="F54" s="147" t="s">
        <v>205</v>
      </c>
      <c r="G54" s="147" t="s">
        <v>206</v>
      </c>
      <c r="H54" s="327">
        <v>0.11830499490316003</v>
      </c>
      <c r="I54" s="147" t="s">
        <v>207</v>
      </c>
      <c r="J54" s="147" t="s">
        <v>208</v>
      </c>
      <c r="K54" s="326"/>
    </row>
    <row r="55" spans="1:13" s="145" customFormat="1" x14ac:dyDescent="0.3">
      <c r="A55" s="147" t="s">
        <v>1</v>
      </c>
      <c r="B55" s="147"/>
      <c r="C55" s="147" t="s">
        <v>209</v>
      </c>
      <c r="D55" s="151">
        <v>3</v>
      </c>
      <c r="E55" s="320">
        <v>-1.2030022724293522E-2</v>
      </c>
      <c r="F55" s="147" t="s">
        <v>205</v>
      </c>
      <c r="G55" s="147" t="s">
        <v>210</v>
      </c>
      <c r="H55" s="327">
        <v>0.11830499490316003</v>
      </c>
      <c r="I55" s="147" t="s">
        <v>207</v>
      </c>
      <c r="J55" s="147" t="s">
        <v>211</v>
      </c>
      <c r="K55" s="326"/>
    </row>
    <row r="56" spans="1:13" s="145" customFormat="1" x14ac:dyDescent="0.3">
      <c r="A56" s="147" t="s">
        <v>1</v>
      </c>
      <c r="B56" s="147"/>
      <c r="C56" s="147" t="s">
        <v>212</v>
      </c>
      <c r="D56" s="151">
        <v>4</v>
      </c>
      <c r="E56" s="320">
        <v>-1.7388770394370003E-2</v>
      </c>
      <c r="F56" s="147" t="s">
        <v>205</v>
      </c>
      <c r="G56" s="147" t="s">
        <v>213</v>
      </c>
      <c r="H56" s="327">
        <v>0.11830499490316003</v>
      </c>
      <c r="I56" s="147" t="s">
        <v>207</v>
      </c>
      <c r="J56" s="147" t="s">
        <v>214</v>
      </c>
      <c r="K56" s="326"/>
    </row>
    <row r="57" spans="1:13" s="145" customFormat="1" x14ac:dyDescent="0.3">
      <c r="A57" s="147" t="s">
        <v>1</v>
      </c>
      <c r="B57" s="147"/>
      <c r="C57" s="147" t="s">
        <v>215</v>
      </c>
      <c r="D57" s="151">
        <v>5</v>
      </c>
      <c r="E57" s="320">
        <v>-2.1302364886899305E-2</v>
      </c>
      <c r="F57" s="147" t="s">
        <v>205</v>
      </c>
      <c r="G57" s="147" t="s">
        <v>216</v>
      </c>
      <c r="H57" s="327">
        <v>0.11830499490316003</v>
      </c>
      <c r="I57" s="147" t="s">
        <v>207</v>
      </c>
      <c r="J57" s="147" t="s">
        <v>217</v>
      </c>
      <c r="K57" s="326"/>
    </row>
    <row r="58" spans="1:13" s="145" customFormat="1" x14ac:dyDescent="0.3">
      <c r="A58" s="147" t="s">
        <v>1</v>
      </c>
      <c r="B58" s="147"/>
      <c r="C58" s="147" t="s">
        <v>218</v>
      </c>
      <c r="D58" s="151">
        <v>6</v>
      </c>
      <c r="E58" s="320">
        <v>-2.3896288482577511E-2</v>
      </c>
      <c r="F58" s="147" t="s">
        <v>205</v>
      </c>
      <c r="G58" s="147" t="s">
        <v>219</v>
      </c>
      <c r="H58" s="327">
        <v>0.11830499490316003</v>
      </c>
      <c r="I58" s="147" t="s">
        <v>207</v>
      </c>
      <c r="J58" s="147" t="s">
        <v>208</v>
      </c>
      <c r="K58" s="326"/>
    </row>
    <row r="59" spans="1:13" s="145" customFormat="1" x14ac:dyDescent="0.3">
      <c r="A59" s="147" t="s">
        <v>1</v>
      </c>
      <c r="B59" s="147"/>
      <c r="C59" s="147" t="s">
        <v>220</v>
      </c>
      <c r="D59" s="153">
        <v>1.6917293233082706</v>
      </c>
      <c r="E59" s="320">
        <v>-1.2451535820819946E-2</v>
      </c>
      <c r="F59" s="147" t="s">
        <v>205</v>
      </c>
      <c r="G59" s="147" t="s">
        <v>221</v>
      </c>
      <c r="H59" s="327">
        <v>0.11830499490316003</v>
      </c>
      <c r="I59" s="147" t="s">
        <v>207</v>
      </c>
      <c r="J59" s="147" t="s">
        <v>222</v>
      </c>
      <c r="K59" s="326"/>
    </row>
    <row r="60" spans="1:13" s="145" customFormat="1" x14ac:dyDescent="0.3">
      <c r="A60" s="147" t="s">
        <v>1</v>
      </c>
      <c r="B60" s="147"/>
      <c r="C60" s="147" t="s">
        <v>223</v>
      </c>
      <c r="D60" s="153">
        <v>2.255639097744361</v>
      </c>
      <c r="E60" s="320">
        <v>-2.1502846799838445E-2</v>
      </c>
      <c r="F60" s="147" t="s">
        <v>205</v>
      </c>
      <c r="G60" s="147" t="s">
        <v>224</v>
      </c>
      <c r="H60" s="327">
        <v>0.11830499490316003</v>
      </c>
      <c r="I60" s="147" t="s">
        <v>207</v>
      </c>
      <c r="J60" s="147" t="s">
        <v>225</v>
      </c>
      <c r="K60" s="326"/>
    </row>
    <row r="61" spans="1:13" s="145" customFormat="1" x14ac:dyDescent="0.3">
      <c r="A61" s="147" t="s">
        <v>1</v>
      </c>
      <c r="B61" s="147"/>
      <c r="C61" s="147" t="s">
        <v>226</v>
      </c>
      <c r="D61" s="153">
        <v>3.007518796992481</v>
      </c>
      <c r="E61" s="320">
        <v>-3.2334065766491477E-2</v>
      </c>
      <c r="F61" s="147" t="s">
        <v>205</v>
      </c>
      <c r="G61" s="147" t="s">
        <v>210</v>
      </c>
      <c r="H61" s="327">
        <v>0.11830499490316003</v>
      </c>
      <c r="I61" s="147" t="s">
        <v>207</v>
      </c>
      <c r="J61" s="147" t="s">
        <v>227</v>
      </c>
      <c r="K61" s="326"/>
    </row>
    <row r="62" spans="1:13" s="145" customFormat="1" x14ac:dyDescent="0.3">
      <c r="A62" s="147" t="s">
        <v>1</v>
      </c>
      <c r="B62" s="147"/>
      <c r="C62" s="147" t="s">
        <v>228</v>
      </c>
      <c r="D62" s="153">
        <v>3.7593984962406015</v>
      </c>
      <c r="E62" s="320">
        <v>-4.1830378367951691E-2</v>
      </c>
      <c r="F62" s="147" t="s">
        <v>205</v>
      </c>
      <c r="G62" s="147" t="s">
        <v>229</v>
      </c>
      <c r="H62" s="327">
        <v>0.11830499490316003</v>
      </c>
      <c r="I62" s="147" t="s">
        <v>207</v>
      </c>
      <c r="J62" s="147" t="s">
        <v>230</v>
      </c>
      <c r="K62" s="326"/>
    </row>
    <row r="63" spans="1:13" s="145" customFormat="1" x14ac:dyDescent="0.3">
      <c r="A63" s="147" t="s">
        <v>1</v>
      </c>
      <c r="B63" s="147"/>
      <c r="C63" s="147" t="s">
        <v>231</v>
      </c>
      <c r="D63" s="153">
        <v>4.511278195488722</v>
      </c>
      <c r="E63" s="320">
        <v>-5.0073897673639269E-2</v>
      </c>
      <c r="F63" s="147" t="s">
        <v>205</v>
      </c>
      <c r="G63" s="147" t="s">
        <v>232</v>
      </c>
      <c r="H63" s="327">
        <v>0.11830499490316003</v>
      </c>
      <c r="I63" s="147" t="s">
        <v>207</v>
      </c>
      <c r="J63" s="147" t="s">
        <v>233</v>
      </c>
      <c r="K63" s="326"/>
    </row>
    <row r="64" spans="1:13" s="145" customFormat="1" x14ac:dyDescent="0.3">
      <c r="A64" s="147" t="s">
        <v>1</v>
      </c>
      <c r="B64" s="147"/>
      <c r="C64" s="147" t="s">
        <v>234</v>
      </c>
      <c r="D64" s="154">
        <v>3.5475563909774435</v>
      </c>
      <c r="E64" s="320">
        <v>-1.489823765778674E-2</v>
      </c>
      <c r="F64" s="147" t="s">
        <v>205</v>
      </c>
      <c r="G64" s="147" t="s">
        <v>235</v>
      </c>
      <c r="H64" s="327">
        <v>0.11830499490316003</v>
      </c>
      <c r="I64" s="147" t="s">
        <v>207</v>
      </c>
      <c r="J64" s="147" t="s">
        <v>236</v>
      </c>
      <c r="K64" s="326"/>
    </row>
    <row r="65" spans="1:13" s="145" customFormat="1" x14ac:dyDescent="0.3">
      <c r="A65" s="147" t="s">
        <v>1</v>
      </c>
      <c r="B65" s="147"/>
      <c r="C65" s="147" t="s">
        <v>429</v>
      </c>
      <c r="D65" s="227">
        <v>50</v>
      </c>
      <c r="E65" s="319">
        <v>18036.14966915458</v>
      </c>
      <c r="F65" s="147" t="s">
        <v>426</v>
      </c>
      <c r="G65" s="147"/>
      <c r="H65" s="359">
        <v>179.30556376751798</v>
      </c>
      <c r="I65" s="147" t="s">
        <v>428</v>
      </c>
      <c r="J65" s="147"/>
      <c r="K65" s="326"/>
    </row>
    <row r="66" spans="1:13" s="145" customFormat="1" x14ac:dyDescent="0.3">
      <c r="A66" s="147" t="s">
        <v>1</v>
      </c>
      <c r="B66" s="147"/>
      <c r="C66" s="147" t="s">
        <v>427</v>
      </c>
      <c r="D66" s="227">
        <v>50</v>
      </c>
      <c r="E66" s="319">
        <v>18036.14966915458</v>
      </c>
      <c r="F66" s="147" t="s">
        <v>426</v>
      </c>
      <c r="G66" s="147"/>
      <c r="H66" s="359">
        <v>179.30556376751798</v>
      </c>
      <c r="I66" s="147" t="s">
        <v>428</v>
      </c>
      <c r="J66" s="147"/>
      <c r="K66" s="326"/>
    </row>
    <row r="67" spans="1:13" s="145" customFormat="1" x14ac:dyDescent="0.3">
      <c r="A67" s="147" t="s">
        <v>1</v>
      </c>
      <c r="B67" s="147"/>
      <c r="C67" s="147" t="s">
        <v>324</v>
      </c>
      <c r="D67" s="227">
        <v>50</v>
      </c>
      <c r="E67" s="319">
        <v>701953.67646380095</v>
      </c>
      <c r="F67" s="152" t="s">
        <v>16</v>
      </c>
      <c r="G67" s="147"/>
      <c r="H67" s="319">
        <v>29043.489399628517</v>
      </c>
      <c r="I67" s="152" t="s">
        <v>0</v>
      </c>
      <c r="J67" s="147"/>
      <c r="K67" s="326"/>
    </row>
    <row r="68" spans="1:13" s="145" customFormat="1" x14ac:dyDescent="0.3">
      <c r="A68" s="147" t="s">
        <v>1</v>
      </c>
      <c r="B68" s="147"/>
      <c r="C68" s="147" t="s">
        <v>326</v>
      </c>
      <c r="D68" s="227">
        <v>50</v>
      </c>
      <c r="E68" s="319"/>
      <c r="F68" s="147"/>
      <c r="G68" s="147"/>
      <c r="H68" s="326">
        <v>39.135010233744701</v>
      </c>
      <c r="I68" s="147" t="s">
        <v>337</v>
      </c>
      <c r="J68" s="147" t="s">
        <v>336</v>
      </c>
      <c r="K68" s="326"/>
    </row>
    <row r="69" spans="1:13" s="145" customFormat="1" x14ac:dyDescent="0.3">
      <c r="A69" s="147" t="s">
        <v>1</v>
      </c>
      <c r="B69" s="147"/>
      <c r="C69" s="147" t="s">
        <v>328</v>
      </c>
      <c r="D69" s="227">
        <v>50</v>
      </c>
      <c r="E69" s="319">
        <v>701953.67646380095</v>
      </c>
      <c r="F69" s="152" t="s">
        <v>16</v>
      </c>
      <c r="G69" s="147"/>
      <c r="H69" s="319">
        <v>29043.489399628517</v>
      </c>
      <c r="I69" s="152" t="s">
        <v>0</v>
      </c>
      <c r="J69" s="147"/>
      <c r="K69" s="326"/>
    </row>
    <row r="70" spans="1:13" s="145" customFormat="1" x14ac:dyDescent="0.3">
      <c r="A70" s="147" t="s">
        <v>1</v>
      </c>
      <c r="B70" s="147"/>
      <c r="C70" s="147" t="s">
        <v>330</v>
      </c>
      <c r="D70" s="227">
        <v>50</v>
      </c>
      <c r="E70" s="319"/>
      <c r="F70" s="147"/>
      <c r="G70" s="147"/>
      <c r="H70" s="326">
        <v>39.135010233744701</v>
      </c>
      <c r="I70" s="147" t="s">
        <v>337</v>
      </c>
      <c r="J70" s="147" t="s">
        <v>336</v>
      </c>
      <c r="K70" s="326"/>
    </row>
    <row r="71" spans="1:13" s="3" customFormat="1" x14ac:dyDescent="0.3">
      <c r="A71" s="3" t="s">
        <v>3</v>
      </c>
      <c r="B71" s="9"/>
      <c r="C71" s="3" t="s">
        <v>407</v>
      </c>
      <c r="D71" s="9">
        <v>15</v>
      </c>
      <c r="E71" s="314">
        <v>610.4685697808535</v>
      </c>
      <c r="F71" s="3" t="s">
        <v>16</v>
      </c>
      <c r="G71" s="2" t="s">
        <v>18</v>
      </c>
      <c r="H71" s="322">
        <v>52.109471094710941</v>
      </c>
      <c r="I71" s="3" t="s">
        <v>0</v>
      </c>
      <c r="J71" s="3" t="s">
        <v>17</v>
      </c>
      <c r="K71" s="322">
        <v>1136.0195268506072</v>
      </c>
      <c r="L71" s="3" t="s">
        <v>16</v>
      </c>
      <c r="M71" s="3" t="s">
        <v>408</v>
      </c>
    </row>
    <row r="72" spans="1:13" s="2" customFormat="1" x14ac:dyDescent="0.3">
      <c r="A72" s="2" t="s">
        <v>7</v>
      </c>
      <c r="B72" s="8"/>
      <c r="C72" s="2" t="s">
        <v>407</v>
      </c>
      <c r="D72" s="8">
        <v>15</v>
      </c>
      <c r="E72" s="315">
        <v>847.89429065743946</v>
      </c>
      <c r="F72" s="2" t="s">
        <v>16</v>
      </c>
      <c r="G72" s="2" t="s">
        <v>18</v>
      </c>
      <c r="H72" s="323">
        <v>52.109471094710941</v>
      </c>
      <c r="I72" s="2" t="s">
        <v>0</v>
      </c>
      <c r="J72" s="2" t="s">
        <v>17</v>
      </c>
      <c r="K72" s="323">
        <v>2076.6103352264404</v>
      </c>
      <c r="L72" s="2" t="s">
        <v>16</v>
      </c>
      <c r="M72" s="2" t="s">
        <v>408</v>
      </c>
    </row>
    <row r="73" spans="1:13" s="2" customFormat="1" x14ac:dyDescent="0.3">
      <c r="A73" s="2" t="s">
        <v>2</v>
      </c>
      <c r="B73" s="8"/>
      <c r="C73" s="2" t="s">
        <v>407</v>
      </c>
      <c r="D73" s="8">
        <v>15</v>
      </c>
      <c r="E73" s="315">
        <v>1091.1136851211072</v>
      </c>
      <c r="F73" s="2" t="s">
        <v>16</v>
      </c>
      <c r="G73" s="2" t="s">
        <v>18</v>
      </c>
      <c r="H73" s="323">
        <v>52.109471094710941</v>
      </c>
      <c r="I73" s="2" t="s">
        <v>0</v>
      </c>
      <c r="J73" s="2" t="s">
        <v>17</v>
      </c>
      <c r="K73" s="323">
        <v>1096.7634843253875</v>
      </c>
      <c r="L73" s="2" t="s">
        <v>16</v>
      </c>
      <c r="M73" s="2" t="s">
        <v>408</v>
      </c>
    </row>
    <row r="74" spans="1:13" s="2" customFormat="1" x14ac:dyDescent="0.3">
      <c r="A74" s="2" t="s">
        <v>4</v>
      </c>
      <c r="B74" s="8"/>
      <c r="C74" s="2" t="s">
        <v>407</v>
      </c>
      <c r="D74" s="8">
        <v>15</v>
      </c>
      <c r="E74" s="315">
        <v>1336.8964532871971</v>
      </c>
      <c r="F74" s="2" t="s">
        <v>16</v>
      </c>
      <c r="G74" s="2" t="s">
        <v>18</v>
      </c>
      <c r="H74" s="323">
        <v>52.109471094710941</v>
      </c>
      <c r="I74" s="2" t="s">
        <v>0</v>
      </c>
      <c r="J74" s="2" t="s">
        <v>17</v>
      </c>
      <c r="K74" s="323">
        <v>1770.2313684987007</v>
      </c>
      <c r="L74" s="2" t="s">
        <v>16</v>
      </c>
      <c r="M74" s="2" t="s">
        <v>408</v>
      </c>
    </row>
    <row r="75" spans="1:13" s="149" customFormat="1" x14ac:dyDescent="0.3">
      <c r="A75" s="146" t="s">
        <v>1</v>
      </c>
      <c r="B75" s="155"/>
      <c r="C75" s="149" t="s">
        <v>407</v>
      </c>
      <c r="D75" s="148">
        <v>15</v>
      </c>
      <c r="E75" s="329">
        <v>971.59324971164938</v>
      </c>
      <c r="F75" s="149" t="s">
        <v>16</v>
      </c>
      <c r="G75" s="149" t="s">
        <v>18</v>
      </c>
      <c r="H75" s="324">
        <v>52.109471094710941</v>
      </c>
      <c r="I75" s="149" t="s">
        <v>0</v>
      </c>
      <c r="J75" s="149" t="s">
        <v>17</v>
      </c>
      <c r="K75" s="324">
        <v>1565.0148210785758</v>
      </c>
      <c r="L75" s="149" t="s">
        <v>16</v>
      </c>
      <c r="M75" s="149" t="s">
        <v>408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3241-1537-452A-A157-2F29CA82C891}">
  <dimension ref="A1:O31"/>
  <sheetViews>
    <sheetView showGridLines="0" topLeftCell="A3" zoomScale="85" zoomScaleNormal="85" workbookViewId="0">
      <selection activeCell="I32" sqref="I32"/>
    </sheetView>
    <sheetView workbookViewId="1">
      <selection sqref="A1:H1"/>
    </sheetView>
  </sheetViews>
  <sheetFormatPr defaultRowHeight="14.4" x14ac:dyDescent="0.3"/>
  <cols>
    <col min="1" max="1" width="40.33203125" customWidth="1"/>
    <col min="2" max="8" width="23" customWidth="1"/>
  </cols>
  <sheetData>
    <row r="1" spans="1:8" ht="51" customHeight="1" thickBot="1" x14ac:dyDescent="0.35">
      <c r="A1" s="378" t="s">
        <v>353</v>
      </c>
      <c r="B1" s="378"/>
      <c r="C1" s="378"/>
      <c r="D1" s="378"/>
      <c r="E1" s="378"/>
      <c r="F1" s="378"/>
      <c r="G1" s="378"/>
      <c r="H1" s="378"/>
    </row>
    <row r="2" spans="1:8" ht="43.5" customHeight="1" thickBot="1" x14ac:dyDescent="0.35">
      <c r="A2" s="378" t="s">
        <v>354</v>
      </c>
      <c r="B2" s="378"/>
      <c r="C2" s="378"/>
      <c r="D2" s="378"/>
      <c r="E2" s="378"/>
      <c r="F2" s="378"/>
      <c r="G2" s="378"/>
      <c r="H2" s="378"/>
    </row>
    <row r="3" spans="1:8" x14ac:dyDescent="0.3">
      <c r="A3" s="380" t="s">
        <v>37</v>
      </c>
      <c r="B3" s="381"/>
      <c r="C3" s="381"/>
      <c r="D3" s="381"/>
      <c r="E3" s="381"/>
      <c r="F3" s="382"/>
      <c r="G3" s="382"/>
      <c r="H3" s="383"/>
    </row>
    <row r="4" spans="1:8" x14ac:dyDescent="0.3">
      <c r="A4" s="384"/>
      <c r="B4" s="385"/>
      <c r="C4" s="385"/>
      <c r="D4" s="385"/>
      <c r="E4" s="385"/>
      <c r="F4" s="385"/>
      <c r="G4" s="385"/>
      <c r="H4" s="386"/>
    </row>
    <row r="5" spans="1:8" x14ac:dyDescent="0.3">
      <c r="A5" s="15" t="s">
        <v>38</v>
      </c>
      <c r="B5" s="16" t="s">
        <v>39</v>
      </c>
      <c r="C5" s="16" t="s">
        <v>40</v>
      </c>
      <c r="D5" s="16" t="s">
        <v>41</v>
      </c>
      <c r="E5" s="16" t="s">
        <v>42</v>
      </c>
      <c r="F5" s="17" t="s">
        <v>43</v>
      </c>
      <c r="G5" s="17" t="s">
        <v>44</v>
      </c>
      <c r="H5" s="18" t="s">
        <v>45</v>
      </c>
    </row>
    <row r="6" spans="1:8" x14ac:dyDescent="0.3">
      <c r="A6" s="15"/>
      <c r="B6" s="19"/>
      <c r="C6" s="19"/>
      <c r="D6" s="19"/>
      <c r="E6" s="19"/>
      <c r="F6" s="20"/>
      <c r="G6" s="20"/>
      <c r="H6" s="21"/>
    </row>
    <row r="7" spans="1:8" x14ac:dyDescent="0.3">
      <c r="A7" s="22" t="s">
        <v>46</v>
      </c>
      <c r="B7" s="23"/>
      <c r="C7" s="23"/>
      <c r="D7" s="23"/>
      <c r="E7" s="23"/>
      <c r="F7" s="24"/>
      <c r="G7" s="24"/>
      <c r="H7" s="25"/>
    </row>
    <row r="8" spans="1:8" x14ac:dyDescent="0.3">
      <c r="A8" s="26" t="s">
        <v>47</v>
      </c>
      <c r="B8" s="23">
        <v>110.49460205874968</v>
      </c>
      <c r="C8" s="23">
        <v>331.48380617624906</v>
      </c>
      <c r="D8" s="23">
        <v>552.47301029374842</v>
      </c>
      <c r="E8" s="23">
        <v>1325.9352247049962</v>
      </c>
      <c r="F8" s="24">
        <f>B8</f>
        <v>110.49460205874968</v>
      </c>
      <c r="G8" s="24">
        <f>SMALL(D8:E9,4)</f>
        <v>1325.9352247049962</v>
      </c>
      <c r="H8" s="25">
        <f>AVERAGE(B8:E8)</f>
        <v>580.0966608084359</v>
      </c>
    </row>
    <row r="9" spans="1:8" ht="15" thickBot="1" x14ac:dyDescent="0.35">
      <c r="A9" s="26" t="s">
        <v>48</v>
      </c>
      <c r="B9" s="23">
        <v>55.247301029374839</v>
      </c>
      <c r="C9" s="23">
        <v>165.74190308812453</v>
      </c>
      <c r="D9" s="23">
        <v>386.73110720562386</v>
      </c>
      <c r="E9" s="23">
        <v>552.47301029374842</v>
      </c>
      <c r="F9" s="274">
        <f>B9</f>
        <v>55.247301029374839</v>
      </c>
      <c r="G9" s="274">
        <f>LARGE(D8:E9,4)</f>
        <v>386.73110720562386</v>
      </c>
      <c r="H9" s="275">
        <f>AVERAGE(B9:E9)</f>
        <v>290.04833040421795</v>
      </c>
    </row>
    <row r="10" spans="1:8" ht="15" thickBot="1" x14ac:dyDescent="0.35">
      <c r="A10" s="26" t="s">
        <v>49</v>
      </c>
      <c r="B10" s="23"/>
      <c r="C10" s="23"/>
      <c r="D10" s="23"/>
      <c r="E10" s="273"/>
      <c r="F10" s="278">
        <f>AVERAGE(F8:F9)</f>
        <v>82.870951544062251</v>
      </c>
      <c r="G10" s="279">
        <f t="shared" ref="G10:H10" si="0">AVERAGE(G8:G9)</f>
        <v>856.33316595531005</v>
      </c>
      <c r="H10" s="280">
        <f t="shared" si="0"/>
        <v>435.07249560632692</v>
      </c>
    </row>
    <row r="11" spans="1:8" x14ac:dyDescent="0.3">
      <c r="A11" s="22" t="s">
        <v>50</v>
      </c>
      <c r="B11" s="23"/>
      <c r="C11" s="23"/>
      <c r="D11" s="23"/>
      <c r="E11" s="23"/>
      <c r="F11" s="276"/>
      <c r="G11" s="276"/>
      <c r="H11" s="277"/>
    </row>
    <row r="12" spans="1:8" x14ac:dyDescent="0.3">
      <c r="A12" s="26" t="s">
        <v>47</v>
      </c>
      <c r="B12" s="23">
        <f>B8*0.05</f>
        <v>5.5247301029374842</v>
      </c>
      <c r="C12" s="23">
        <f t="shared" ref="C12:E13" si="1">C8*0.05</f>
        <v>16.574190308812454</v>
      </c>
      <c r="D12" s="23">
        <f t="shared" si="1"/>
        <v>27.623650514687423</v>
      </c>
      <c r="E12" s="23">
        <f t="shared" si="1"/>
        <v>66.296761235249818</v>
      </c>
      <c r="F12" s="24">
        <f>B12</f>
        <v>5.5247301029374842</v>
      </c>
      <c r="G12" s="24">
        <f>LARGE(D12:E13,1)</f>
        <v>66.296761235249818</v>
      </c>
      <c r="H12" s="25">
        <f>AVERAGE(B12:E12)</f>
        <v>29.004833040421794</v>
      </c>
    </row>
    <row r="13" spans="1:8" ht="15" thickBot="1" x14ac:dyDescent="0.35">
      <c r="A13" s="26" t="s">
        <v>48</v>
      </c>
      <c r="B13" s="23">
        <f>B9*0.05</f>
        <v>2.7623650514687421</v>
      </c>
      <c r="C13" s="23">
        <f t="shared" si="1"/>
        <v>8.2870951544062272</v>
      </c>
      <c r="D13" s="23">
        <f t="shared" si="1"/>
        <v>19.336555360281196</v>
      </c>
      <c r="E13" s="23">
        <f t="shared" si="1"/>
        <v>27.623650514687423</v>
      </c>
      <c r="F13" s="274">
        <f>B13</f>
        <v>2.7623650514687421</v>
      </c>
      <c r="G13" s="274">
        <f>SMALL(D12:E13,1)</f>
        <v>19.336555360281196</v>
      </c>
      <c r="H13" s="275">
        <f>AVERAGE(B13:E13)</f>
        <v>14.502416520210897</v>
      </c>
    </row>
    <row r="14" spans="1:8" ht="15" thickBot="1" x14ac:dyDescent="0.35">
      <c r="A14" s="26"/>
      <c r="B14" s="23"/>
      <c r="C14" s="23"/>
      <c r="D14" s="23"/>
      <c r="E14" s="273"/>
      <c r="F14" s="278">
        <f>AVERAGE(F12:F13)</f>
        <v>4.1435475772031136</v>
      </c>
      <c r="G14" s="279">
        <f t="shared" ref="G14:H14" si="2">AVERAGE(G12:G13)</f>
        <v>42.816658297765507</v>
      </c>
      <c r="H14" s="280">
        <f t="shared" si="2"/>
        <v>21.753624780316343</v>
      </c>
    </row>
    <row r="15" spans="1:8" x14ac:dyDescent="0.3">
      <c r="A15" s="26"/>
      <c r="B15" s="23"/>
      <c r="C15" s="23"/>
      <c r="D15" s="23"/>
      <c r="E15" s="23"/>
      <c r="F15" s="276"/>
      <c r="G15" s="276"/>
      <c r="H15" s="277"/>
    </row>
    <row r="16" spans="1:8" x14ac:dyDescent="0.3">
      <c r="A16" s="22" t="s">
        <v>51</v>
      </c>
      <c r="B16" s="27">
        <v>30</v>
      </c>
      <c r="C16" s="27">
        <v>30</v>
      </c>
      <c r="D16" s="27">
        <v>30</v>
      </c>
      <c r="E16" s="27">
        <v>30</v>
      </c>
      <c r="F16" s="28">
        <f>B16</f>
        <v>30</v>
      </c>
      <c r="G16" s="28">
        <f>C16</f>
        <v>30</v>
      </c>
      <c r="H16" s="29"/>
    </row>
    <row r="17" spans="1:15" x14ac:dyDescent="0.3">
      <c r="A17" s="22" t="s">
        <v>52</v>
      </c>
      <c r="B17" s="23"/>
      <c r="C17" s="23"/>
      <c r="D17" s="23"/>
      <c r="E17" s="23"/>
      <c r="F17" s="24"/>
      <c r="G17" s="24"/>
      <c r="H17" s="25"/>
    </row>
    <row r="18" spans="1:15" x14ac:dyDescent="0.3">
      <c r="A18" s="26" t="s">
        <v>47</v>
      </c>
      <c r="B18" s="23">
        <f t="shared" ref="B18:E19" si="3">-PMT(Annual_rate1,B$16,B8)+B12</f>
        <v>12.712562535483235</v>
      </c>
      <c r="C18" s="23">
        <f t="shared" si="3"/>
        <v>38.137687606449703</v>
      </c>
      <c r="D18" s="23">
        <f t="shared" si="3"/>
        <v>63.562812677416176</v>
      </c>
      <c r="E18" s="23">
        <f t="shared" si="3"/>
        <v>152.55075042579881</v>
      </c>
      <c r="F18" s="24">
        <f>B18</f>
        <v>12.712562535483235</v>
      </c>
      <c r="G18" s="24">
        <f>LARGE(D18:E19,1)</f>
        <v>152.55075042579881</v>
      </c>
      <c r="H18" s="25">
        <f>AVERAGE(B18:E18)</f>
        <v>66.740953311286972</v>
      </c>
    </row>
    <row r="19" spans="1:15" x14ac:dyDescent="0.3">
      <c r="A19" s="26" t="s">
        <v>48</v>
      </c>
      <c r="B19" s="23">
        <f t="shared" si="3"/>
        <v>6.3562812677416174</v>
      </c>
      <c r="C19" s="23">
        <f t="shared" si="3"/>
        <v>19.068843803224851</v>
      </c>
      <c r="D19" s="23">
        <f t="shared" si="3"/>
        <v>44.493968874191324</v>
      </c>
      <c r="E19" s="23">
        <f t="shared" si="3"/>
        <v>63.562812677416176</v>
      </c>
      <c r="F19" s="24">
        <f>B19</f>
        <v>6.3562812677416174</v>
      </c>
      <c r="G19" s="24">
        <f>SMALL(D18:E19,1)</f>
        <v>44.493968874191324</v>
      </c>
      <c r="H19" s="25">
        <f>AVERAGE(B19:E19)</f>
        <v>33.370476655643493</v>
      </c>
    </row>
    <row r="20" spans="1:15" ht="15" thickBot="1" x14ac:dyDescent="0.35">
      <c r="A20" s="30"/>
      <c r="B20" s="31"/>
      <c r="C20" s="31"/>
      <c r="D20" s="31"/>
      <c r="E20" s="31"/>
      <c r="F20" s="32"/>
      <c r="G20" s="32"/>
      <c r="H20" s="33"/>
    </row>
    <row r="21" spans="1:15" x14ac:dyDescent="0.3">
      <c r="A21" s="34"/>
      <c r="B21" s="35"/>
      <c r="C21" s="35"/>
      <c r="D21" s="35"/>
      <c r="E21" s="35"/>
      <c r="F21" s="35"/>
      <c r="G21" s="35"/>
      <c r="H21" s="35"/>
    </row>
    <row r="22" spans="1:15" x14ac:dyDescent="0.3">
      <c r="A22" s="226" t="s">
        <v>352</v>
      </c>
      <c r="B22" s="35"/>
      <c r="C22" s="36"/>
      <c r="D22" s="36"/>
      <c r="E22" s="36"/>
      <c r="F22" s="36"/>
      <c r="G22" s="36"/>
      <c r="H22" s="36"/>
    </row>
    <row r="23" spans="1:15" x14ac:dyDescent="0.3">
      <c r="A23" s="36" t="s">
        <v>53</v>
      </c>
      <c r="B23" s="36"/>
      <c r="C23" s="36"/>
      <c r="D23" s="36"/>
      <c r="E23" s="36"/>
      <c r="F23" s="36"/>
      <c r="G23" s="36"/>
      <c r="H23" s="36"/>
    </row>
    <row r="24" spans="1:15" x14ac:dyDescent="0.3">
      <c r="A24" s="36" t="s">
        <v>54</v>
      </c>
      <c r="B24" s="36"/>
      <c r="C24" s="36"/>
      <c r="D24" s="36"/>
      <c r="E24" s="36"/>
      <c r="F24" s="36"/>
      <c r="G24" s="36"/>
      <c r="H24" s="36"/>
    </row>
    <row r="25" spans="1:15" ht="30.75" customHeight="1" x14ac:dyDescent="0.3">
      <c r="A25" s="387" t="s">
        <v>55</v>
      </c>
      <c r="B25" s="387"/>
      <c r="C25" s="387"/>
      <c r="D25" s="387"/>
      <c r="E25" s="387"/>
      <c r="F25" s="387"/>
      <c r="G25" s="387"/>
      <c r="H25" s="387"/>
    </row>
    <row r="26" spans="1:15" x14ac:dyDescent="0.3">
      <c r="A26" s="36" t="s">
        <v>56</v>
      </c>
      <c r="B26" s="36"/>
      <c r="C26" s="36"/>
      <c r="D26" s="36"/>
      <c r="E26" s="36"/>
      <c r="F26" s="36"/>
      <c r="G26" s="36"/>
      <c r="H26" s="36"/>
    </row>
    <row r="27" spans="1:15" x14ac:dyDescent="0.3">
      <c r="A27" s="36" t="s">
        <v>57</v>
      </c>
      <c r="B27" s="36"/>
      <c r="C27" s="36"/>
      <c r="D27" s="36"/>
      <c r="E27" s="36"/>
      <c r="F27" s="36"/>
      <c r="G27" s="36"/>
      <c r="H27" s="36"/>
    </row>
    <row r="28" spans="1:15" x14ac:dyDescent="0.3">
      <c r="A28" s="36"/>
      <c r="B28" s="36"/>
      <c r="C28" s="36"/>
      <c r="D28" s="36"/>
      <c r="E28" s="36"/>
      <c r="F28" s="36"/>
      <c r="G28" s="36"/>
      <c r="H28" s="36"/>
    </row>
    <row r="29" spans="1:15" x14ac:dyDescent="0.3">
      <c r="A29" s="36"/>
      <c r="B29" s="36"/>
      <c r="C29" s="36"/>
      <c r="D29" s="36"/>
      <c r="E29" s="36"/>
      <c r="F29" s="36"/>
      <c r="G29" s="36"/>
      <c r="H29" s="36"/>
    </row>
    <row r="30" spans="1:15" ht="33.75" customHeight="1" x14ac:dyDescent="0.3">
      <c r="A30" s="36" t="s">
        <v>58</v>
      </c>
      <c r="B30" s="379" t="s">
        <v>59</v>
      </c>
      <c r="C30" s="379"/>
      <c r="D30" s="379"/>
      <c r="E30" s="379"/>
      <c r="F30" s="379"/>
      <c r="G30" s="379"/>
      <c r="H30" s="379"/>
      <c r="I30" s="379"/>
      <c r="J30" s="379"/>
      <c r="K30" s="379"/>
      <c r="L30" s="379"/>
      <c r="M30" s="379"/>
      <c r="N30" s="379"/>
      <c r="O30" s="379"/>
    </row>
    <row r="31" spans="1:15" ht="33.75" customHeight="1" x14ac:dyDescent="0.3">
      <c r="A31" s="36" t="s">
        <v>60</v>
      </c>
      <c r="B31" s="379" t="s">
        <v>61</v>
      </c>
      <c r="C31" s="379"/>
      <c r="D31" s="379"/>
      <c r="E31" s="379"/>
      <c r="F31" s="379"/>
      <c r="G31" s="379"/>
      <c r="H31" s="379"/>
      <c r="I31" s="379"/>
      <c r="J31" s="379"/>
      <c r="K31" s="379"/>
      <c r="L31" s="379"/>
      <c r="M31" s="379"/>
      <c r="N31" s="379"/>
      <c r="O31" s="379"/>
    </row>
  </sheetData>
  <mergeCells count="7">
    <mergeCell ref="A1:H1"/>
    <mergeCell ref="B31:O31"/>
    <mergeCell ref="A2:H2"/>
    <mergeCell ref="A3:H3"/>
    <mergeCell ref="A4:H4"/>
    <mergeCell ref="A25:H25"/>
    <mergeCell ref="B30:O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0EB1-3A1A-4D79-A25C-7592C307DC3E}">
  <dimension ref="A1:D15"/>
  <sheetViews>
    <sheetView workbookViewId="0">
      <selection activeCell="Q25" sqref="Q25"/>
    </sheetView>
    <sheetView workbookViewId="1"/>
  </sheetViews>
  <sheetFormatPr defaultColWidth="9.109375" defaultRowHeight="11.4" x14ac:dyDescent="0.2"/>
  <cols>
    <col min="1" max="1" width="42.88671875" style="40" customWidth="1"/>
    <col min="2" max="2" width="14.5546875" style="132" customWidth="1"/>
    <col min="3" max="3" width="17.6640625" style="40" customWidth="1"/>
    <col min="4" max="4" width="15.5546875" style="40" customWidth="1"/>
    <col min="5" max="16384" width="9.109375" style="40"/>
  </cols>
  <sheetData>
    <row r="1" spans="1:4" ht="12" thickBot="1" x14ac:dyDescent="0.25">
      <c r="A1" s="40" t="s">
        <v>188</v>
      </c>
    </row>
    <row r="2" spans="1:4" ht="12.6" thickBot="1" x14ac:dyDescent="0.3">
      <c r="A2" s="281" t="s">
        <v>63</v>
      </c>
      <c r="B2" s="282" t="s">
        <v>49</v>
      </c>
      <c r="C2" s="133" t="s">
        <v>171</v>
      </c>
      <c r="D2" s="134" t="s">
        <v>189</v>
      </c>
    </row>
    <row r="3" spans="1:4" ht="12" x14ac:dyDescent="0.25">
      <c r="A3" s="286" t="s">
        <v>190</v>
      </c>
      <c r="B3" s="283">
        <f>AVERAGE(C3,D3)</f>
        <v>18986.208695965546</v>
      </c>
      <c r="C3" s="137">
        <f>6180*Assumptions!C18</f>
        <v>9608.3148278285316</v>
      </c>
      <c r="D3" s="138">
        <f>7700*Assumptions!C43</f>
        <v>28364.102564102563</v>
      </c>
    </row>
    <row r="4" spans="1:4" ht="12" x14ac:dyDescent="0.25">
      <c r="A4" s="287" t="s">
        <v>191</v>
      </c>
      <c r="B4" s="284">
        <f t="shared" ref="B4:B7" si="0">AVERAGE(C4,D4)</f>
        <v>113.67147601144421</v>
      </c>
      <c r="C4" s="139">
        <f>37*Assumptions!C18</f>
        <v>57.525509486999297</v>
      </c>
      <c r="D4" s="136">
        <f>+(C4/C3)*D3</f>
        <v>169.81744253588914</v>
      </c>
    </row>
    <row r="5" spans="1:4" ht="12.6" thickBot="1" x14ac:dyDescent="0.3">
      <c r="A5" s="288" t="s">
        <v>192</v>
      </c>
      <c r="B5" s="285">
        <v>20</v>
      </c>
      <c r="C5" s="124">
        <v>20</v>
      </c>
      <c r="D5" s="136"/>
    </row>
    <row r="6" spans="1:4" x14ac:dyDescent="0.2">
      <c r="B6" s="140"/>
      <c r="C6" s="141"/>
      <c r="D6" s="140"/>
    </row>
    <row r="7" spans="1:4" ht="12" thickBot="1" x14ac:dyDescent="0.25">
      <c r="A7" s="135" t="s">
        <v>193</v>
      </c>
      <c r="B7" s="142">
        <f t="shared" si="0"/>
        <v>1637.1739827181214</v>
      </c>
      <c r="C7" s="143">
        <f>-PMT(Annual_rate1,20,C3)+C4</f>
        <v>828.52154981464253</v>
      </c>
      <c r="D7" s="142">
        <f>-PMT(Annual_rate1,20,D3)+D4</f>
        <v>2445.8264156216001</v>
      </c>
    </row>
    <row r="9" spans="1:4" x14ac:dyDescent="0.2">
      <c r="A9" s="40" t="s">
        <v>194</v>
      </c>
    </row>
    <row r="10" spans="1:4" x14ac:dyDescent="0.2">
      <c r="A10" s="40" t="s">
        <v>195</v>
      </c>
    </row>
    <row r="11" spans="1:4" x14ac:dyDescent="0.2">
      <c r="A11" s="40" t="s">
        <v>196</v>
      </c>
    </row>
    <row r="13" spans="1:4" ht="12" x14ac:dyDescent="0.25">
      <c r="A13" s="54" t="s">
        <v>182</v>
      </c>
    </row>
    <row r="14" spans="1:4" x14ac:dyDescent="0.2">
      <c r="A14" s="131" t="s">
        <v>183</v>
      </c>
      <c r="B14" s="144"/>
    </row>
    <row r="15" spans="1:4" x14ac:dyDescent="0.2">
      <c r="A15" s="40" t="s">
        <v>197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664F-842C-48F3-9F00-84DDDFC14EB0}">
  <dimension ref="A1:L65"/>
  <sheetViews>
    <sheetView showGridLines="0" topLeftCell="A13" zoomScale="70" zoomScaleNormal="70" workbookViewId="0">
      <selection activeCell="H50" sqref="H50"/>
    </sheetView>
    <sheetView workbookViewId="1"/>
  </sheetViews>
  <sheetFormatPr defaultRowHeight="14.4" x14ac:dyDescent="0.3"/>
  <cols>
    <col min="1" max="1" width="50.33203125" style="55" customWidth="1"/>
    <col min="2" max="2" width="16" style="55" customWidth="1"/>
    <col min="3" max="3" width="15" customWidth="1"/>
    <col min="4" max="4" width="13.33203125" customWidth="1"/>
    <col min="5" max="5" width="11" bestFit="1" customWidth="1"/>
    <col min="6" max="6" width="11.6640625" bestFit="1" customWidth="1"/>
    <col min="7" max="7" width="13.109375" bestFit="1" customWidth="1"/>
    <col min="8" max="10" width="10.88671875" customWidth="1"/>
    <col min="11" max="14" width="18.6640625" customWidth="1"/>
  </cols>
  <sheetData>
    <row r="1" spans="1:2" ht="15.75" customHeight="1" thickBot="1" x14ac:dyDescent="0.35">
      <c r="A1" s="189" t="s">
        <v>300</v>
      </c>
      <c r="B1" s="190"/>
    </row>
    <row r="2" spans="1:2" ht="15.75" customHeight="1" thickBot="1" x14ac:dyDescent="0.35">
      <c r="A2" s="189"/>
      <c r="B2" s="190"/>
    </row>
    <row r="3" spans="1:2" ht="15" thickBot="1" x14ac:dyDescent="0.35">
      <c r="A3" s="367" t="s">
        <v>301</v>
      </c>
      <c r="B3" s="368"/>
    </row>
    <row r="4" spans="1:2" ht="15" thickBot="1" x14ac:dyDescent="0.35">
      <c r="A4" s="191"/>
      <c r="B4" s="192"/>
    </row>
    <row r="5" spans="1:2" ht="32.25" customHeight="1" x14ac:dyDescent="0.3">
      <c r="A5" s="193" t="s">
        <v>63</v>
      </c>
      <c r="B5" s="194"/>
    </row>
    <row r="6" spans="1:2" x14ac:dyDescent="0.3">
      <c r="A6" s="195"/>
      <c r="B6" s="196"/>
    </row>
    <row r="7" spans="1:2" x14ac:dyDescent="0.3">
      <c r="A7" s="197" t="s">
        <v>302</v>
      </c>
      <c r="B7" s="198">
        <v>6.7</v>
      </c>
    </row>
    <row r="8" spans="1:2" x14ac:dyDescent="0.3">
      <c r="A8" s="197" t="s">
        <v>303</v>
      </c>
      <c r="B8" s="199">
        <f>-PMT(0.03375,B15,16.3)</f>
        <v>0.67933931181895713</v>
      </c>
    </row>
    <row r="9" spans="1:2" x14ac:dyDescent="0.3">
      <c r="A9" s="197" t="s">
        <v>304</v>
      </c>
      <c r="B9" s="200">
        <v>56.3</v>
      </c>
    </row>
    <row r="10" spans="1:2" x14ac:dyDescent="0.3">
      <c r="A10" s="197" t="s">
        <v>305</v>
      </c>
      <c r="B10" s="201">
        <v>1.3758462735472052</v>
      </c>
    </row>
    <row r="11" spans="1:2" x14ac:dyDescent="0.3">
      <c r="A11" s="197" t="s">
        <v>306</v>
      </c>
      <c r="B11" s="202">
        <v>156481.1625797817</v>
      </c>
    </row>
    <row r="12" spans="1:2" x14ac:dyDescent="0.3">
      <c r="A12" s="197" t="s">
        <v>307</v>
      </c>
      <c r="B12" s="202">
        <v>15866.239596952126</v>
      </c>
    </row>
    <row r="13" spans="1:2" x14ac:dyDescent="0.3">
      <c r="A13" s="197" t="s">
        <v>308</v>
      </c>
      <c r="B13" s="203">
        <f>+B10*1000000/B9</f>
        <v>24437.76684808535</v>
      </c>
    </row>
    <row r="14" spans="1:2" x14ac:dyDescent="0.3">
      <c r="A14" s="197" t="s">
        <v>309</v>
      </c>
      <c r="B14" s="204">
        <f>B10*1000000/(1002.4*1000/50)/2.20462</f>
        <v>31.128996117042092</v>
      </c>
    </row>
    <row r="15" spans="1:2" x14ac:dyDescent="0.3">
      <c r="A15" s="205" t="s">
        <v>310</v>
      </c>
      <c r="B15" s="206">
        <v>50</v>
      </c>
    </row>
    <row r="16" spans="1:2" x14ac:dyDescent="0.3">
      <c r="A16"/>
      <c r="B16"/>
    </row>
    <row r="17" spans="1:3" x14ac:dyDescent="0.3">
      <c r="A17" t="s">
        <v>311</v>
      </c>
      <c r="B17" s="207"/>
    </row>
    <row r="18" spans="1:3" x14ac:dyDescent="0.3">
      <c r="A18"/>
      <c r="B18" s="207"/>
    </row>
    <row r="19" spans="1:3" ht="28.8" x14ac:dyDescent="0.3">
      <c r="A19" s="208" t="s">
        <v>63</v>
      </c>
      <c r="B19" s="209" t="s">
        <v>312</v>
      </c>
      <c r="C19" s="209" t="s">
        <v>313</v>
      </c>
    </row>
    <row r="20" spans="1:3" x14ac:dyDescent="0.3">
      <c r="A20" s="210"/>
      <c r="B20" s="210"/>
      <c r="C20" s="210"/>
    </row>
    <row r="21" spans="1:3" x14ac:dyDescent="0.3">
      <c r="A21" s="36" t="s">
        <v>314</v>
      </c>
      <c r="B21" s="203">
        <v>3660450</v>
      </c>
      <c r="C21" s="203">
        <v>5904500</v>
      </c>
    </row>
    <row r="22" spans="1:3" ht="16.2" x14ac:dyDescent="0.3">
      <c r="A22" s="36" t="s">
        <v>315</v>
      </c>
      <c r="B22" s="203">
        <f>147500-20000</f>
        <v>127500</v>
      </c>
      <c r="C22" s="203">
        <f>264300-20000</f>
        <v>244300</v>
      </c>
    </row>
    <row r="23" spans="1:3" x14ac:dyDescent="0.3">
      <c r="A23" s="36" t="s">
        <v>316</v>
      </c>
      <c r="B23" s="203">
        <v>4</v>
      </c>
      <c r="C23" s="203">
        <v>10</v>
      </c>
    </row>
    <row r="24" spans="1:3" x14ac:dyDescent="0.3">
      <c r="A24" s="36" t="s">
        <v>305</v>
      </c>
      <c r="B24" s="202">
        <v>310176.4103351892</v>
      </c>
      <c r="C24" s="202">
        <v>536866.429266655</v>
      </c>
    </row>
    <row r="25" spans="1:3" x14ac:dyDescent="0.3">
      <c r="A25" s="36" t="s">
        <v>306</v>
      </c>
      <c r="B25" s="202">
        <v>865365.30135367427</v>
      </c>
      <c r="C25" s="202">
        <v>558352.05199828104</v>
      </c>
    </row>
    <row r="26" spans="1:3" x14ac:dyDescent="0.3">
      <c r="A26" s="36" t="s">
        <v>307</v>
      </c>
      <c r="B26" s="202">
        <v>30142.216373012463</v>
      </c>
      <c r="C26" s="202">
        <v>23101.940266437472</v>
      </c>
    </row>
    <row r="27" spans="1:3" x14ac:dyDescent="0.3">
      <c r="A27" s="36" t="s">
        <v>308</v>
      </c>
      <c r="B27" s="203">
        <f>+B24/B23</f>
        <v>77544.102583797299</v>
      </c>
      <c r="C27" s="203">
        <f>+C24/C23</f>
        <v>53686.642926665503</v>
      </c>
    </row>
    <row r="28" spans="1:3" x14ac:dyDescent="0.3">
      <c r="A28" s="211" t="s">
        <v>310</v>
      </c>
      <c r="B28" s="206">
        <v>50</v>
      </c>
      <c r="C28" s="206">
        <v>50</v>
      </c>
    </row>
    <row r="29" spans="1:3" x14ac:dyDescent="0.3">
      <c r="A29"/>
      <c r="B29" s="207"/>
    </row>
    <row r="30" spans="1:3" x14ac:dyDescent="0.3">
      <c r="A30" t="s">
        <v>317</v>
      </c>
      <c r="B30" s="207"/>
    </row>
    <row r="31" spans="1:3" ht="16.2" x14ac:dyDescent="0.3">
      <c r="A31" t="s">
        <v>318</v>
      </c>
      <c r="B31" s="207"/>
    </row>
    <row r="32" spans="1:3" x14ac:dyDescent="0.3">
      <c r="A32"/>
      <c r="B32"/>
    </row>
    <row r="33" spans="1:12" ht="41.25" customHeight="1" x14ac:dyDescent="0.3">
      <c r="A33" s="212" t="s">
        <v>319</v>
      </c>
      <c r="B33" s="388" t="s">
        <v>320</v>
      </c>
      <c r="C33" s="388"/>
      <c r="D33" s="388"/>
      <c r="E33" s="388" t="s">
        <v>321</v>
      </c>
      <c r="F33" s="388"/>
      <c r="G33" s="388"/>
      <c r="H33" s="388" t="s">
        <v>322</v>
      </c>
      <c r="I33" s="388"/>
      <c r="J33" s="388"/>
      <c r="K33" s="209" t="s">
        <v>309</v>
      </c>
    </row>
    <row r="34" spans="1:12" ht="17.25" customHeight="1" x14ac:dyDescent="0.3">
      <c r="A34" s="213"/>
      <c r="B34" s="214" t="s">
        <v>48</v>
      </c>
      <c r="C34" s="214" t="s">
        <v>323</v>
      </c>
      <c r="D34" s="214" t="s">
        <v>47</v>
      </c>
      <c r="E34" s="214" t="s">
        <v>48</v>
      </c>
      <c r="F34" s="214" t="s">
        <v>323</v>
      </c>
      <c r="G34" s="214" t="s">
        <v>47</v>
      </c>
      <c r="H34" s="214" t="s">
        <v>48</v>
      </c>
      <c r="I34" s="214" t="s">
        <v>323</v>
      </c>
      <c r="J34" s="214" t="s">
        <v>47</v>
      </c>
      <c r="K34" s="214"/>
    </row>
    <row r="35" spans="1:12" x14ac:dyDescent="0.3">
      <c r="A35" s="213" t="s">
        <v>324</v>
      </c>
      <c r="B35" s="215">
        <f>+$B$13</f>
        <v>24437.76684808535</v>
      </c>
      <c r="C35" s="216">
        <f>$C$27</f>
        <v>53686.642926665503</v>
      </c>
      <c r="D35" s="216">
        <f>+$B$27</f>
        <v>77544.102583797299</v>
      </c>
      <c r="E35" s="216">
        <f>+$B$11</f>
        <v>156481.1625797817</v>
      </c>
      <c r="F35" s="217">
        <f>+$C$25</f>
        <v>558352.05199828104</v>
      </c>
      <c r="G35" s="216">
        <f>+$B$25</f>
        <v>865365.30135367427</v>
      </c>
      <c r="H35" s="216">
        <f>+$B$12</f>
        <v>15866.239596952126</v>
      </c>
      <c r="I35" s="217">
        <f>+$C$26</f>
        <v>23101.940266437472</v>
      </c>
      <c r="J35" s="216">
        <f>+$B$26</f>
        <v>30142.216373012463</v>
      </c>
      <c r="K35" s="218">
        <f>+$B$14</f>
        <v>31.128996117042092</v>
      </c>
      <c r="L35" s="219" t="s">
        <v>325</v>
      </c>
    </row>
    <row r="36" spans="1:12" x14ac:dyDescent="0.3">
      <c r="A36" s="36" t="s">
        <v>326</v>
      </c>
      <c r="B36" s="215">
        <f t="shared" ref="B36:B38" si="0">+$B$13</f>
        <v>24437.76684808535</v>
      </c>
      <c r="C36" s="216">
        <f t="shared" ref="C36:C38" si="1">$C$27</f>
        <v>53686.642926665503</v>
      </c>
      <c r="D36" s="216">
        <f t="shared" ref="D36:D38" si="2">+$B$27</f>
        <v>77544.102583797299</v>
      </c>
      <c r="E36" s="216">
        <f t="shared" ref="E36:E38" si="3">+$B$11</f>
        <v>156481.1625797817</v>
      </c>
      <c r="F36" s="217">
        <f t="shared" ref="F36:F38" si="4">+$C$25</f>
        <v>558352.05199828104</v>
      </c>
      <c r="G36" s="216">
        <f t="shared" ref="G36:G38" si="5">+$B$25</f>
        <v>865365.30135367427</v>
      </c>
      <c r="H36" s="216">
        <f t="shared" ref="H36:H38" si="6">+$B$12</f>
        <v>15866.239596952126</v>
      </c>
      <c r="I36" s="217">
        <f t="shared" ref="I36:I38" si="7">+$C$26</f>
        <v>23101.940266437472</v>
      </c>
      <c r="J36" s="216">
        <f t="shared" ref="J36:J38" si="8">+$B$26</f>
        <v>30142.216373012463</v>
      </c>
      <c r="K36" s="201">
        <f t="shared" ref="K36:K38" si="9">+$B$14</f>
        <v>31.128996117042092</v>
      </c>
      <c r="L36" s="219" t="s">
        <v>327</v>
      </c>
    </row>
    <row r="37" spans="1:12" x14ac:dyDescent="0.3">
      <c r="A37" s="36" t="s">
        <v>328</v>
      </c>
      <c r="B37" s="215">
        <f t="shared" si="0"/>
        <v>24437.76684808535</v>
      </c>
      <c r="C37" s="216">
        <f t="shared" si="1"/>
        <v>53686.642926665503</v>
      </c>
      <c r="D37" s="216">
        <f t="shared" si="2"/>
        <v>77544.102583797299</v>
      </c>
      <c r="E37" s="216">
        <f t="shared" si="3"/>
        <v>156481.1625797817</v>
      </c>
      <c r="F37" s="217">
        <f t="shared" si="4"/>
        <v>558352.05199828104</v>
      </c>
      <c r="G37" s="216">
        <f t="shared" si="5"/>
        <v>865365.30135367427</v>
      </c>
      <c r="H37" s="216">
        <f t="shared" si="6"/>
        <v>15866.239596952126</v>
      </c>
      <c r="I37" s="217">
        <f t="shared" si="7"/>
        <v>23101.940266437472</v>
      </c>
      <c r="J37" s="216">
        <f t="shared" si="8"/>
        <v>30142.216373012463</v>
      </c>
      <c r="K37" s="201">
        <f t="shared" si="9"/>
        <v>31.128996117042092</v>
      </c>
      <c r="L37" s="219" t="s">
        <v>329</v>
      </c>
    </row>
    <row r="38" spans="1:12" x14ac:dyDescent="0.3">
      <c r="A38" s="36" t="s">
        <v>330</v>
      </c>
      <c r="B38" s="215">
        <f t="shared" si="0"/>
        <v>24437.76684808535</v>
      </c>
      <c r="C38" s="216">
        <f t="shared" si="1"/>
        <v>53686.642926665503</v>
      </c>
      <c r="D38" s="216">
        <f t="shared" si="2"/>
        <v>77544.102583797299</v>
      </c>
      <c r="E38" s="216">
        <f t="shared" si="3"/>
        <v>156481.1625797817</v>
      </c>
      <c r="F38" s="217">
        <f t="shared" si="4"/>
        <v>558352.05199828104</v>
      </c>
      <c r="G38" s="216">
        <f t="shared" si="5"/>
        <v>865365.30135367427</v>
      </c>
      <c r="H38" s="216">
        <f t="shared" si="6"/>
        <v>15866.239596952126</v>
      </c>
      <c r="I38" s="217">
        <f t="shared" si="7"/>
        <v>23101.940266437472</v>
      </c>
      <c r="J38" s="216">
        <f t="shared" si="8"/>
        <v>30142.216373012463</v>
      </c>
      <c r="K38" s="201">
        <f t="shared" si="9"/>
        <v>31.128996117042092</v>
      </c>
      <c r="L38" s="219" t="s">
        <v>331</v>
      </c>
    </row>
    <row r="39" spans="1:12" x14ac:dyDescent="0.3">
      <c r="A39"/>
      <c r="B39"/>
    </row>
    <row r="40" spans="1:12" ht="15" thickBot="1" x14ac:dyDescent="0.35">
      <c r="A40"/>
      <c r="B40"/>
    </row>
    <row r="41" spans="1:12" s="220" customFormat="1" ht="41.25" customHeight="1" x14ac:dyDescent="0.3">
      <c r="A41" s="289" t="s">
        <v>319</v>
      </c>
      <c r="B41" s="389" t="s">
        <v>334</v>
      </c>
      <c r="C41" s="389"/>
      <c r="D41" s="389"/>
      <c r="E41" s="389" t="s">
        <v>332</v>
      </c>
      <c r="F41" s="389"/>
      <c r="G41" s="389"/>
      <c r="H41" s="389" t="s">
        <v>333</v>
      </c>
      <c r="I41" s="389"/>
      <c r="J41" s="389"/>
      <c r="K41" s="290" t="s">
        <v>309</v>
      </c>
    </row>
    <row r="42" spans="1:12" s="220" customFormat="1" ht="17.25" customHeight="1" x14ac:dyDescent="0.3">
      <c r="A42" s="291"/>
      <c r="B42" s="221" t="s">
        <v>48</v>
      </c>
      <c r="C42" s="221" t="s">
        <v>323</v>
      </c>
      <c r="D42" s="221" t="s">
        <v>47</v>
      </c>
      <c r="E42" s="221" t="s">
        <v>48</v>
      </c>
      <c r="F42" s="221" t="s">
        <v>323</v>
      </c>
      <c r="G42" s="221" t="s">
        <v>47</v>
      </c>
      <c r="H42" s="221" t="s">
        <v>48</v>
      </c>
      <c r="I42" s="221" t="s">
        <v>323</v>
      </c>
      <c r="J42" s="221" t="s">
        <v>47</v>
      </c>
      <c r="K42" s="292"/>
    </row>
    <row r="43" spans="1:12" s="220" customFormat="1" x14ac:dyDescent="0.3">
      <c r="A43" s="291" t="s">
        <v>324</v>
      </c>
      <c r="B43" s="222">
        <f t="shared" ref="B43:K43" si="10">+B35*CCI_2010</f>
        <v>30722.874971419496</v>
      </c>
      <c r="C43" s="223">
        <f t="shared" si="10"/>
        <v>67494.220258526402</v>
      </c>
      <c r="D43" s="223">
        <f t="shared" si="10"/>
        <v>97487.539809292619</v>
      </c>
      <c r="E43" s="223">
        <f t="shared" si="10"/>
        <v>196726.28940306228</v>
      </c>
      <c r="F43" s="224">
        <f t="shared" si="10"/>
        <v>701953.67646380095</v>
      </c>
      <c r="G43" s="223">
        <f t="shared" si="10"/>
        <v>1087927.1466728428</v>
      </c>
      <c r="H43" s="223">
        <f t="shared" si="10"/>
        <v>19946.851053697512</v>
      </c>
      <c r="I43" s="224">
        <f t="shared" si="10"/>
        <v>29043.489399628517</v>
      </c>
      <c r="J43" s="223">
        <f t="shared" si="10"/>
        <v>37894.442268242288</v>
      </c>
      <c r="K43" s="293">
        <f t="shared" si="10"/>
        <v>39.135010233744701</v>
      </c>
      <c r="L43" s="225" t="s">
        <v>325</v>
      </c>
    </row>
    <row r="44" spans="1:12" s="220" customFormat="1" x14ac:dyDescent="0.3">
      <c r="A44" s="294" t="s">
        <v>326</v>
      </c>
      <c r="B44" s="222">
        <f t="shared" ref="B44:K44" si="11">+B36*CCI_2010</f>
        <v>30722.874971419496</v>
      </c>
      <c r="C44" s="223">
        <f t="shared" si="11"/>
        <v>67494.220258526402</v>
      </c>
      <c r="D44" s="223">
        <f t="shared" si="11"/>
        <v>97487.539809292619</v>
      </c>
      <c r="E44" s="223">
        <f t="shared" si="11"/>
        <v>196726.28940306228</v>
      </c>
      <c r="F44" s="224">
        <f t="shared" si="11"/>
        <v>701953.67646380095</v>
      </c>
      <c r="G44" s="223">
        <f t="shared" si="11"/>
        <v>1087927.1466728428</v>
      </c>
      <c r="H44" s="223">
        <f t="shared" si="11"/>
        <v>19946.851053697512</v>
      </c>
      <c r="I44" s="224">
        <f t="shared" si="11"/>
        <v>29043.489399628517</v>
      </c>
      <c r="J44" s="223">
        <f t="shared" si="11"/>
        <v>37894.442268242288</v>
      </c>
      <c r="K44" s="295">
        <f t="shared" si="11"/>
        <v>39.135010233744701</v>
      </c>
      <c r="L44" s="225" t="s">
        <v>327</v>
      </c>
    </row>
    <row r="45" spans="1:12" s="220" customFormat="1" x14ac:dyDescent="0.3">
      <c r="A45" s="294" t="s">
        <v>328</v>
      </c>
      <c r="B45" s="222">
        <f t="shared" ref="B45:K45" si="12">+B37*CCI_2010</f>
        <v>30722.874971419496</v>
      </c>
      <c r="C45" s="223">
        <f t="shared" si="12"/>
        <v>67494.220258526402</v>
      </c>
      <c r="D45" s="223">
        <f t="shared" si="12"/>
        <v>97487.539809292619</v>
      </c>
      <c r="E45" s="223">
        <f t="shared" si="12"/>
        <v>196726.28940306228</v>
      </c>
      <c r="F45" s="224">
        <f t="shared" si="12"/>
        <v>701953.67646380095</v>
      </c>
      <c r="G45" s="223">
        <f t="shared" si="12"/>
        <v>1087927.1466728428</v>
      </c>
      <c r="H45" s="223">
        <f t="shared" si="12"/>
        <v>19946.851053697512</v>
      </c>
      <c r="I45" s="224">
        <f t="shared" si="12"/>
        <v>29043.489399628517</v>
      </c>
      <c r="J45" s="223">
        <f t="shared" si="12"/>
        <v>37894.442268242288</v>
      </c>
      <c r="K45" s="295">
        <f t="shared" si="12"/>
        <v>39.135010233744701</v>
      </c>
      <c r="L45" s="225" t="s">
        <v>329</v>
      </c>
    </row>
    <row r="46" spans="1:12" s="220" customFormat="1" ht="15" thickBot="1" x14ac:dyDescent="0.35">
      <c r="A46" s="296" t="s">
        <v>330</v>
      </c>
      <c r="B46" s="297">
        <f t="shared" ref="B46:K46" si="13">+B38*CCI_2010</f>
        <v>30722.874971419496</v>
      </c>
      <c r="C46" s="298">
        <f t="shared" si="13"/>
        <v>67494.220258526402</v>
      </c>
      <c r="D46" s="298">
        <f t="shared" si="13"/>
        <v>97487.539809292619</v>
      </c>
      <c r="E46" s="298">
        <f t="shared" si="13"/>
        <v>196726.28940306228</v>
      </c>
      <c r="F46" s="299">
        <f t="shared" si="13"/>
        <v>701953.67646380095</v>
      </c>
      <c r="G46" s="298">
        <f t="shared" si="13"/>
        <v>1087927.1466728428</v>
      </c>
      <c r="H46" s="298">
        <f t="shared" si="13"/>
        <v>19946.851053697512</v>
      </c>
      <c r="I46" s="299">
        <f t="shared" si="13"/>
        <v>29043.489399628517</v>
      </c>
      <c r="J46" s="298">
        <f t="shared" si="13"/>
        <v>37894.442268242288</v>
      </c>
      <c r="K46" s="300">
        <f t="shared" si="13"/>
        <v>39.135010233744701</v>
      </c>
      <c r="L46" s="225" t="s">
        <v>331</v>
      </c>
    </row>
    <row r="47" spans="1:12" s="220" customFormat="1" ht="16.2" x14ac:dyDescent="0.3">
      <c r="A47" s="220" t="s">
        <v>335</v>
      </c>
    </row>
    <row r="48" spans="1: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sheetData>
  <mergeCells count="7">
    <mergeCell ref="A3:B3"/>
    <mergeCell ref="B33:D33"/>
    <mergeCell ref="E33:G33"/>
    <mergeCell ref="H33:J33"/>
    <mergeCell ref="B41:D41"/>
    <mergeCell ref="E41:G41"/>
    <mergeCell ref="H41:J4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FA4E7-52A6-4B7A-B9F9-6FE730C28845}">
  <dimension ref="A1:F19"/>
  <sheetViews>
    <sheetView workbookViewId="0">
      <selection activeCell="G23" sqref="G23"/>
    </sheetView>
    <sheetView workbookViewId="1"/>
  </sheetViews>
  <sheetFormatPr defaultColWidth="9.109375" defaultRowHeight="11.4" x14ac:dyDescent="0.2"/>
  <cols>
    <col min="1" max="1" width="37" style="40" customWidth="1"/>
    <col min="2" max="2" width="16" style="40" customWidth="1"/>
    <col min="3" max="3" width="14.88671875" style="40" bestFit="1" customWidth="1"/>
    <col min="4" max="4" width="18.109375" style="40" bestFit="1" customWidth="1"/>
    <col min="5" max="5" width="19.6640625" style="40" customWidth="1"/>
    <col min="6" max="6" width="18.33203125" style="40" customWidth="1"/>
    <col min="7" max="16384" width="9.109375" style="40"/>
  </cols>
  <sheetData>
    <row r="1" spans="1:6" ht="12" thickBot="1" x14ac:dyDescent="0.25">
      <c r="A1" s="118" t="s">
        <v>170</v>
      </c>
      <c r="C1" s="119"/>
    </row>
    <row r="2" spans="1:6" ht="12" x14ac:dyDescent="0.25">
      <c r="A2" s="307" t="s">
        <v>63</v>
      </c>
      <c r="B2" s="308" t="s">
        <v>49</v>
      </c>
      <c r="C2" s="120" t="s">
        <v>171</v>
      </c>
      <c r="D2" s="121" t="s">
        <v>172</v>
      </c>
      <c r="E2" s="121" t="s">
        <v>173</v>
      </c>
      <c r="F2" s="121" t="s">
        <v>174</v>
      </c>
    </row>
    <row r="3" spans="1:6" x14ac:dyDescent="0.2">
      <c r="A3" s="309" t="s">
        <v>175</v>
      </c>
      <c r="B3" s="310">
        <f>AVERAGE(C7:F7)</f>
        <v>56.453942512227705</v>
      </c>
      <c r="C3" s="122">
        <f>84*Assumptions!C18</f>
        <v>130.59845397048488</v>
      </c>
      <c r="D3" s="122">
        <f>AVERAGE(14.53,44.52)*Assumptions!C15</f>
        <v>40.999943509917152</v>
      </c>
      <c r="E3" s="122">
        <f>18.9*Assumptions!C25</f>
        <v>35.885993820803293</v>
      </c>
      <c r="F3" s="122">
        <f>((36+13+2+6+27+43+0+3)/8)*Assumptions!C8</f>
        <v>18.331378747705486</v>
      </c>
    </row>
    <row r="4" spans="1:6" x14ac:dyDescent="0.2">
      <c r="A4" s="309" t="s">
        <v>176</v>
      </c>
      <c r="B4" s="311" t="s">
        <v>177</v>
      </c>
      <c r="C4" s="123" t="s">
        <v>177</v>
      </c>
      <c r="D4" s="123" t="s">
        <v>177</v>
      </c>
      <c r="E4" s="123" t="s">
        <v>177</v>
      </c>
      <c r="F4" s="123" t="s">
        <v>177</v>
      </c>
    </row>
    <row r="5" spans="1:6" ht="12" thickBot="1" x14ac:dyDescent="0.25">
      <c r="A5" s="312" t="s">
        <v>178</v>
      </c>
      <c r="B5" s="313">
        <v>1</v>
      </c>
      <c r="C5" s="125">
        <v>1</v>
      </c>
      <c r="D5" s="125">
        <v>1</v>
      </c>
      <c r="E5" s="125">
        <v>1</v>
      </c>
      <c r="F5" s="125">
        <v>1</v>
      </c>
    </row>
    <row r="6" spans="1:6" ht="12" thickBot="1" x14ac:dyDescent="0.25">
      <c r="B6" s="126"/>
      <c r="C6" s="127"/>
      <c r="D6" s="127"/>
      <c r="E6" s="127"/>
      <c r="F6" s="127"/>
    </row>
    <row r="7" spans="1:6" ht="12.6" thickBot="1" x14ac:dyDescent="0.3">
      <c r="A7" s="128" t="s">
        <v>179</v>
      </c>
      <c r="B7" s="129">
        <f>B3</f>
        <v>56.453942512227705</v>
      </c>
      <c r="C7" s="130">
        <f>C3</f>
        <v>130.59845397048488</v>
      </c>
      <c r="D7" s="130">
        <f>D3</f>
        <v>40.999943509917152</v>
      </c>
      <c r="E7" s="130">
        <f>E3</f>
        <v>35.885993820803293</v>
      </c>
      <c r="F7" s="130">
        <f>F3</f>
        <v>18.331378747705486</v>
      </c>
    </row>
    <row r="8" spans="1:6" x14ac:dyDescent="0.2">
      <c r="C8" s="41"/>
    </row>
    <row r="9" spans="1:6" x14ac:dyDescent="0.2">
      <c r="A9" s="40" t="s">
        <v>180</v>
      </c>
      <c r="C9" s="41"/>
    </row>
    <row r="10" spans="1:6" x14ac:dyDescent="0.2">
      <c r="A10" s="40" t="s">
        <v>181</v>
      </c>
    </row>
    <row r="14" spans="1:6" ht="12" x14ac:dyDescent="0.25">
      <c r="A14" s="54" t="s">
        <v>182</v>
      </c>
    </row>
    <row r="15" spans="1:6" x14ac:dyDescent="0.2">
      <c r="A15" s="131" t="s">
        <v>183</v>
      </c>
    </row>
    <row r="16" spans="1:6" x14ac:dyDescent="0.2">
      <c r="A16" s="40" t="s">
        <v>184</v>
      </c>
    </row>
    <row r="17" spans="1:1" x14ac:dyDescent="0.2">
      <c r="A17" s="40" t="s">
        <v>185</v>
      </c>
    </row>
    <row r="18" spans="1:1" x14ac:dyDescent="0.2">
      <c r="A18" s="40" t="s">
        <v>186</v>
      </c>
    </row>
    <row r="19" spans="1:1" x14ac:dyDescent="0.2">
      <c r="A19" s="40" t="s">
        <v>187</v>
      </c>
    </row>
  </sheetData>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EF28-ACB8-49D4-8C2E-8EFAF2A26F98}">
  <dimension ref="A1:L52"/>
  <sheetViews>
    <sheetView topLeftCell="A6" zoomScale="90" zoomScaleNormal="90" workbookViewId="0">
      <selection activeCell="H52" sqref="H52"/>
    </sheetView>
    <sheetView workbookViewId="1"/>
  </sheetViews>
  <sheetFormatPr defaultColWidth="9.109375" defaultRowHeight="11.4" x14ac:dyDescent="0.2"/>
  <cols>
    <col min="1" max="1" width="44.88671875" style="40" customWidth="1"/>
    <col min="2" max="2" width="13.33203125" style="40" customWidth="1"/>
    <col min="3" max="3" width="17.6640625" style="132" customWidth="1"/>
    <col min="4" max="4" width="21.5546875" style="40" customWidth="1"/>
    <col min="5" max="5" width="16" style="40" customWidth="1"/>
    <col min="6" max="6" width="21.6640625" style="40" customWidth="1"/>
    <col min="7" max="8" width="18.6640625" style="40" customWidth="1"/>
    <col min="9" max="9" width="25.33203125" style="40" bestFit="1" customWidth="1"/>
    <col min="10" max="10" width="31.33203125" style="40" customWidth="1"/>
    <col min="11" max="11" width="5" style="40" customWidth="1"/>
    <col min="12" max="12" width="16.44140625" style="132" customWidth="1"/>
    <col min="13" max="13" width="20" style="40" customWidth="1"/>
    <col min="14" max="14" width="22" style="40" customWidth="1"/>
    <col min="15" max="16384" width="9.109375" style="40"/>
  </cols>
  <sheetData>
    <row r="1" spans="1:12" x14ac:dyDescent="0.2">
      <c r="A1" s="158" t="s">
        <v>237</v>
      </c>
    </row>
    <row r="5" spans="1:12" ht="12" x14ac:dyDescent="0.25">
      <c r="A5" s="159" t="s">
        <v>63</v>
      </c>
      <c r="B5" s="38" t="s">
        <v>292</v>
      </c>
      <c r="C5" s="38" t="s">
        <v>239</v>
      </c>
      <c r="D5" s="38" t="s">
        <v>240</v>
      </c>
      <c r="E5" s="39"/>
    </row>
    <row r="6" spans="1:12" x14ac:dyDescent="0.2">
      <c r="A6" s="40" t="s">
        <v>293</v>
      </c>
      <c r="B6" s="160">
        <f>9.5*1500*'NASS price index'!B22/'NASS price index'!B20</f>
        <v>14114.403114186853</v>
      </c>
      <c r="C6" s="132" t="s">
        <v>241</v>
      </c>
      <c r="D6" s="160"/>
      <c r="L6" s="40"/>
    </row>
    <row r="7" spans="1:12" x14ac:dyDescent="0.2">
      <c r="A7" s="40" t="s">
        <v>242</v>
      </c>
      <c r="B7" s="160">
        <f>6240*11*'NASS price index'!C22</f>
        <v>80114.984709480123</v>
      </c>
      <c r="D7" s="160"/>
      <c r="L7" s="40"/>
    </row>
    <row r="8" spans="1:12" x14ac:dyDescent="0.2">
      <c r="A8" s="40" t="s">
        <v>243</v>
      </c>
      <c r="B8" s="160">
        <f>3840*8*'NASS price index'!C22</f>
        <v>35855.657492354738</v>
      </c>
      <c r="C8" s="132" t="s">
        <v>241</v>
      </c>
      <c r="D8" s="160"/>
      <c r="L8" s="40"/>
    </row>
    <row r="9" spans="1:12" x14ac:dyDescent="0.2">
      <c r="A9" s="40" t="s">
        <v>244</v>
      </c>
      <c r="B9" s="160">
        <f>2000*'NASS price index'!C22</f>
        <v>2334.3527013251783</v>
      </c>
      <c r="D9" s="160"/>
      <c r="L9" s="40"/>
    </row>
    <row r="10" spans="1:12" x14ac:dyDescent="0.2">
      <c r="B10" s="160"/>
      <c r="D10" s="160"/>
      <c r="L10" s="40"/>
    </row>
    <row r="11" spans="1:12" x14ac:dyDescent="0.2">
      <c r="A11" s="40" t="s">
        <v>245</v>
      </c>
      <c r="B11" s="160">
        <f>10000*'NASS price index'!C22</f>
        <v>11671.763506625892</v>
      </c>
      <c r="C11" s="132">
        <v>12</v>
      </c>
      <c r="D11" s="161">
        <f t="shared" ref="D11:D18" si="0">-PMT(Annual_rate1,C11,B11)</f>
        <v>1316.8715033010567</v>
      </c>
      <c r="L11" s="40"/>
    </row>
    <row r="12" spans="1:12" x14ac:dyDescent="0.2">
      <c r="A12" s="40" t="s">
        <v>246</v>
      </c>
      <c r="B12" s="160">
        <f>15000*'NASS price index'!C22</f>
        <v>17507.645259938839</v>
      </c>
      <c r="C12" s="132">
        <v>12</v>
      </c>
      <c r="D12" s="161">
        <f t="shared" si="0"/>
        <v>1975.3072549515848</v>
      </c>
      <c r="L12" s="40"/>
    </row>
    <row r="13" spans="1:12" x14ac:dyDescent="0.2">
      <c r="A13" s="40" t="s">
        <v>247</v>
      </c>
      <c r="B13" s="161">
        <f>3400*'NASS price index'!D11</f>
        <v>4369.248035914703</v>
      </c>
      <c r="C13" s="132">
        <v>2</v>
      </c>
      <c r="D13" s="161">
        <f t="shared" si="0"/>
        <v>2349.8029071199803</v>
      </c>
    </row>
    <row r="14" spans="1:12" x14ac:dyDescent="0.2">
      <c r="A14" s="40" t="s">
        <v>248</v>
      </c>
      <c r="B14" s="161">
        <f>2407*'NASS price index'!D11</f>
        <v>3093.1705948372614</v>
      </c>
      <c r="C14" s="132">
        <v>4</v>
      </c>
      <c r="D14" s="161">
        <f t="shared" si="0"/>
        <v>872.3107080051991</v>
      </c>
    </row>
    <row r="15" spans="1:12" x14ac:dyDescent="0.2">
      <c r="A15" s="40" t="s">
        <v>249</v>
      </c>
      <c r="B15" s="161">
        <f>3000*'NASS price index'!D11</f>
        <v>3855.2188552188554</v>
      </c>
      <c r="C15" s="132">
        <v>5</v>
      </c>
      <c r="D15" s="161">
        <f t="shared" si="0"/>
        <v>890.45839682446808</v>
      </c>
    </row>
    <row r="16" spans="1:12" x14ac:dyDescent="0.2">
      <c r="A16" s="40" t="s">
        <v>250</v>
      </c>
      <c r="B16" s="161">
        <f>41625*'NASS price index'!D11</f>
        <v>53491.161616161618</v>
      </c>
      <c r="C16" s="132">
        <v>6</v>
      </c>
      <c r="D16" s="161">
        <f t="shared" si="0"/>
        <v>10538.693227889049</v>
      </c>
    </row>
    <row r="17" spans="1:4" x14ac:dyDescent="0.2">
      <c r="A17" s="40" t="s">
        <v>251</v>
      </c>
      <c r="B17" s="161">
        <f>3500*'NASS price index'!D11</f>
        <v>4497.7553310886642</v>
      </c>
      <c r="C17" s="132">
        <v>8</v>
      </c>
      <c r="D17" s="161">
        <f t="shared" si="0"/>
        <v>695.90086207960962</v>
      </c>
    </row>
    <row r="18" spans="1:4" x14ac:dyDescent="0.2">
      <c r="A18" s="40" t="s">
        <v>252</v>
      </c>
      <c r="B18" s="161">
        <f>4000*'NASS price index'!D11</f>
        <v>5140.2918069584739</v>
      </c>
      <c r="C18" s="132">
        <v>10</v>
      </c>
      <c r="D18" s="162">
        <f t="shared" si="0"/>
        <v>665.69130565857631</v>
      </c>
    </row>
    <row r="19" spans="1:4" x14ac:dyDescent="0.2">
      <c r="A19" s="163" t="s">
        <v>253</v>
      </c>
      <c r="B19" s="164"/>
      <c r="C19" s="165"/>
      <c r="D19" s="166">
        <f>SUM(D11:D18)</f>
        <v>19305.036165829522</v>
      </c>
    </row>
    <row r="20" spans="1:4" x14ac:dyDescent="0.2">
      <c r="D20" s="94"/>
    </row>
    <row r="22" spans="1:4" x14ac:dyDescent="0.2">
      <c r="A22" s="40" t="s">
        <v>254</v>
      </c>
      <c r="D22" s="40" t="s">
        <v>255</v>
      </c>
    </row>
    <row r="23" spans="1:4" x14ac:dyDescent="0.2">
      <c r="A23" s="40" t="s">
        <v>256</v>
      </c>
    </row>
    <row r="24" spans="1:4" x14ac:dyDescent="0.2">
      <c r="A24" s="40" t="s">
        <v>257</v>
      </c>
      <c r="D24" s="40" t="s">
        <v>255</v>
      </c>
    </row>
    <row r="25" spans="1:4" x14ac:dyDescent="0.2">
      <c r="A25" s="40" t="s">
        <v>258</v>
      </c>
    </row>
    <row r="26" spans="1:4" x14ac:dyDescent="0.2">
      <c r="A26" s="40" t="s">
        <v>259</v>
      </c>
    </row>
    <row r="27" spans="1:4" x14ac:dyDescent="0.2">
      <c r="A27" s="40" t="s">
        <v>260</v>
      </c>
    </row>
    <row r="28" spans="1:4" x14ac:dyDescent="0.2">
      <c r="A28" s="40" t="s">
        <v>261</v>
      </c>
    </row>
    <row r="29" spans="1:4" x14ac:dyDescent="0.2">
      <c r="A29" s="40" t="s">
        <v>262</v>
      </c>
    </row>
    <row r="31" spans="1:4" x14ac:dyDescent="0.2">
      <c r="A31" s="40" t="s">
        <v>81</v>
      </c>
    </row>
    <row r="32" spans="1:4" x14ac:dyDescent="0.2">
      <c r="A32" s="40" t="s">
        <v>263</v>
      </c>
    </row>
    <row r="33" spans="1:12" x14ac:dyDescent="0.2">
      <c r="A33" s="40" t="s">
        <v>264</v>
      </c>
    </row>
    <row r="34" spans="1:12" x14ac:dyDescent="0.2">
      <c r="A34" s="40" t="s">
        <v>265</v>
      </c>
    </row>
    <row r="35" spans="1:12" x14ac:dyDescent="0.2">
      <c r="A35" s="40" t="s">
        <v>266</v>
      </c>
    </row>
    <row r="36" spans="1:12" x14ac:dyDescent="0.2">
      <c r="A36" s="40" t="s">
        <v>267</v>
      </c>
    </row>
    <row r="37" spans="1:12" x14ac:dyDescent="0.2">
      <c r="A37" s="40" t="s">
        <v>268</v>
      </c>
    </row>
    <row r="38" spans="1:12" x14ac:dyDescent="0.2">
      <c r="A38" s="40" t="s">
        <v>269</v>
      </c>
    </row>
    <row r="39" spans="1:12" x14ac:dyDescent="0.2">
      <c r="A39" s="40" t="s">
        <v>270</v>
      </c>
    </row>
    <row r="40" spans="1:12" x14ac:dyDescent="0.2">
      <c r="A40" s="40" t="s">
        <v>271</v>
      </c>
    </row>
    <row r="41" spans="1:12" x14ac:dyDescent="0.2">
      <c r="A41" s="40" t="s">
        <v>272</v>
      </c>
    </row>
    <row r="42" spans="1:12" x14ac:dyDescent="0.2">
      <c r="A42" s="40" t="s">
        <v>412</v>
      </c>
    </row>
    <row r="43" spans="1:12" ht="12" thickBot="1" x14ac:dyDescent="0.25">
      <c r="A43" s="167"/>
      <c r="B43" s="167"/>
      <c r="C43" s="168"/>
      <c r="D43" s="167"/>
      <c r="E43" s="167"/>
      <c r="F43" s="167"/>
      <c r="G43" s="167"/>
      <c r="H43" s="167"/>
      <c r="I43" s="301"/>
      <c r="J43" s="301"/>
    </row>
    <row r="44" spans="1:12" ht="14.25" customHeight="1" x14ac:dyDescent="0.25">
      <c r="A44" s="169"/>
      <c r="B44" s="392" t="s">
        <v>273</v>
      </c>
      <c r="C44" s="394" t="s">
        <v>298</v>
      </c>
      <c r="D44" s="395"/>
      <c r="E44" s="396"/>
      <c r="F44" s="397" t="s">
        <v>295</v>
      </c>
      <c r="G44" s="392" t="s">
        <v>299</v>
      </c>
      <c r="H44" s="399" t="s">
        <v>296</v>
      </c>
      <c r="I44" s="390" t="s">
        <v>297</v>
      </c>
      <c r="L44" s="40"/>
    </row>
    <row r="45" spans="1:12" ht="20.25" customHeight="1" x14ac:dyDescent="0.25">
      <c r="A45" s="169" t="s">
        <v>274</v>
      </c>
      <c r="B45" s="393"/>
      <c r="C45" s="330" t="s">
        <v>275</v>
      </c>
      <c r="D45" s="171" t="s">
        <v>276</v>
      </c>
      <c r="E45" s="172" t="s">
        <v>277</v>
      </c>
      <c r="F45" s="398"/>
      <c r="G45" s="393"/>
      <c r="H45" s="400"/>
      <c r="I45" s="391"/>
      <c r="L45" s="40"/>
    </row>
    <row r="46" spans="1:12" ht="15" thickBot="1" x14ac:dyDescent="0.35">
      <c r="A46" s="3" t="s">
        <v>278</v>
      </c>
      <c r="B46" s="173">
        <v>2.25</v>
      </c>
      <c r="C46" s="174">
        <f>$B$6</f>
        <v>14114.403114186853</v>
      </c>
      <c r="D46" s="175">
        <f>-PV(Annual_rate1,B46,$D$19)</f>
        <v>40141.676144214121</v>
      </c>
      <c r="E46" s="176">
        <f>SUM(C46:D46)</f>
        <v>54256.079258400976</v>
      </c>
      <c r="F46" s="177">
        <f>+$F$47*B46/$B$47</f>
        <v>6.8343425605536343E-2</v>
      </c>
      <c r="G46" s="306">
        <f>(F46*1000000)/(1+Annual_rate1)^B46</f>
        <v>61237.974899104709</v>
      </c>
      <c r="H46" s="302">
        <f>(E46-G46)/1000000</f>
        <v>-6.9818956407037332E-3</v>
      </c>
      <c r="I46" s="303">
        <f>+($B$7+$B$8+$B$9)/(1000000)</f>
        <v>0.11830499490316003</v>
      </c>
      <c r="L46" s="40"/>
    </row>
    <row r="47" spans="1:12" ht="15" thickBot="1" x14ac:dyDescent="0.35">
      <c r="A47" t="s">
        <v>279</v>
      </c>
      <c r="B47" s="173">
        <v>3</v>
      </c>
      <c r="C47" s="174">
        <f t="shared" ref="C47:C52" si="1">$B$6</f>
        <v>14114.403114186853</v>
      </c>
      <c r="D47" s="175">
        <f>-PV(Annual_rate1,B47,$D$19)</f>
        <v>52572.401695521097</v>
      </c>
      <c r="E47" s="176">
        <f>SUM(C47:D47)</f>
        <v>66686.804809707945</v>
      </c>
      <c r="F47" s="178">
        <f>(46/500)*'NASS price index'!B22/'NASS price index'!B20</f>
        <v>9.1124567474048457E-2</v>
      </c>
      <c r="G47" s="306">
        <f>(F47*1000000)/(1+Annual_rate1)^B47</f>
        <v>78716.827534001466</v>
      </c>
      <c r="H47" s="302">
        <f t="shared" ref="H47:H50" si="2">(E47-G47)/1000000</f>
        <v>-1.2030022724293522E-2</v>
      </c>
      <c r="I47" s="303">
        <f t="shared" ref="I47:I52" si="3">+($B$7+$B$8+$B$9)/(1000000)</f>
        <v>0.11830499490316003</v>
      </c>
      <c r="L47" s="40"/>
    </row>
    <row r="48" spans="1:12" ht="14.4" x14ac:dyDescent="0.3">
      <c r="A48" t="s">
        <v>280</v>
      </c>
      <c r="B48" s="173">
        <v>4</v>
      </c>
      <c r="C48" s="174">
        <f t="shared" si="1"/>
        <v>14114.403114186853</v>
      </c>
      <c r="D48" s="175">
        <f>-PV(Annual_rate1,B48,$D$19)</f>
        <v>68454.702725095805</v>
      </c>
      <c r="E48" s="176">
        <f>SUM(C48:D48)</f>
        <v>82569.105839282653</v>
      </c>
      <c r="F48" s="177">
        <f t="shared" ref="F48:F50" si="4">+$F$47*B48/$B$47</f>
        <v>0.12149942329873127</v>
      </c>
      <c r="G48" s="306">
        <f>(F48*1000000)/(1+Annual_rate1)^B48</f>
        <v>99957.876233652656</v>
      </c>
      <c r="H48" s="302">
        <f t="shared" si="2"/>
        <v>-1.7388770394370003E-2</v>
      </c>
      <c r="I48" s="303">
        <f t="shared" si="3"/>
        <v>0.11830499490316003</v>
      </c>
      <c r="L48" s="40"/>
    </row>
    <row r="49" spans="1:12" ht="14.4" x14ac:dyDescent="0.3">
      <c r="A49" t="s">
        <v>281</v>
      </c>
      <c r="B49" s="173">
        <v>5</v>
      </c>
      <c r="C49" s="174">
        <f t="shared" si="1"/>
        <v>14114.403114186853</v>
      </c>
      <c r="D49" s="175">
        <f>-PV(Annual_rate1,B49,$D$19)</f>
        <v>83580.703705643187</v>
      </c>
      <c r="E49" s="176">
        <f>SUM(C49:D49)</f>
        <v>97695.106819830035</v>
      </c>
      <c r="F49" s="177">
        <f t="shared" si="4"/>
        <v>0.15187427912341409</v>
      </c>
      <c r="G49" s="306">
        <f>(F49*1000000)/(1+Annual_rate1)^B49</f>
        <v>118997.47170672934</v>
      </c>
      <c r="H49" s="302">
        <f t="shared" si="2"/>
        <v>-2.1302364886899305E-2</v>
      </c>
      <c r="I49" s="303">
        <f t="shared" si="3"/>
        <v>0.11830499490316003</v>
      </c>
      <c r="L49" s="40"/>
    </row>
    <row r="50" spans="1:12" ht="15" thickBot="1" x14ac:dyDescent="0.35">
      <c r="A50" s="1" t="s">
        <v>282</v>
      </c>
      <c r="B50" s="179">
        <v>6</v>
      </c>
      <c r="C50" s="180">
        <f t="shared" si="1"/>
        <v>14114.403114186853</v>
      </c>
      <c r="D50" s="181">
        <f>-PV(Annual_rate1,B50,$D$19)</f>
        <v>97986.41892521207</v>
      </c>
      <c r="E50" s="182">
        <f>SUM(C50:D50)</f>
        <v>112100.82203939892</v>
      </c>
      <c r="F50" s="183">
        <f t="shared" si="4"/>
        <v>0.18224913494809691</v>
      </c>
      <c r="G50" s="181">
        <f>(F50*1000000)/(1+Annual_rate1)^B50</f>
        <v>135997.11052197643</v>
      </c>
      <c r="H50" s="304">
        <f t="shared" si="2"/>
        <v>-2.3896288482577511E-2</v>
      </c>
      <c r="I50" s="305">
        <f t="shared" si="3"/>
        <v>0.11830499490316003</v>
      </c>
      <c r="L50" s="40"/>
    </row>
    <row r="51" spans="1:12" ht="12" x14ac:dyDescent="0.25">
      <c r="J51" s="184"/>
    </row>
    <row r="52" spans="1:12" ht="14.4" x14ac:dyDescent="0.3">
      <c r="A52" s="36" t="s">
        <v>413</v>
      </c>
      <c r="B52" s="331">
        <v>3.5</v>
      </c>
      <c r="C52" s="332">
        <f t="shared" si="1"/>
        <v>14114.403114186853</v>
      </c>
      <c r="D52" s="333">
        <f>-PV(Annual_rate1,B52,$D$19)</f>
        <v>60610.409916187069</v>
      </c>
      <c r="E52" s="334">
        <f>SUM(C52:D52)</f>
        <v>74724.813030373916</v>
      </c>
      <c r="F52" s="335">
        <f t="shared" ref="F52" si="5">+$F$47*B52/$B$47</f>
        <v>0.10631199538638987</v>
      </c>
      <c r="G52" s="333">
        <f>(F52*1000000)/(1+Annual_rate1)^B52</f>
        <v>89623.050688160656</v>
      </c>
      <c r="H52" s="336">
        <f t="shared" ref="H52" si="6">(E52-G52)/1000000</f>
        <v>-1.489823765778674E-2</v>
      </c>
      <c r="I52" s="337">
        <f t="shared" si="3"/>
        <v>0.11830499490316003</v>
      </c>
    </row>
  </sheetData>
  <mergeCells count="6">
    <mergeCell ref="I44:I45"/>
    <mergeCell ref="B44:B45"/>
    <mergeCell ref="C44:E44"/>
    <mergeCell ref="F44:F45"/>
    <mergeCell ref="G44:G45"/>
    <mergeCell ref="H44:H4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0734-A89E-49F3-9D3B-56D58927F232}">
  <dimension ref="A1:D22"/>
  <sheetViews>
    <sheetView topLeftCell="A10" zoomScale="85" zoomScaleNormal="85" workbookViewId="0">
      <selection activeCell="A20" sqref="A20:A22"/>
    </sheetView>
    <sheetView topLeftCell="A2" workbookViewId="1"/>
  </sheetViews>
  <sheetFormatPr defaultColWidth="9.109375" defaultRowHeight="14.4" x14ac:dyDescent="0.3"/>
  <cols>
    <col min="1" max="1" width="47" style="55" customWidth="1"/>
    <col min="2" max="4" width="17.5546875" style="338" customWidth="1"/>
    <col min="5" max="5" width="11.33203125" style="55" bestFit="1" customWidth="1"/>
    <col min="6" max="16384" width="9.109375" style="55"/>
  </cols>
  <sheetData>
    <row r="1" spans="1:4" ht="43.5" customHeight="1" x14ac:dyDescent="0.3">
      <c r="A1" s="401" t="s">
        <v>415</v>
      </c>
      <c r="B1" s="402"/>
      <c r="C1" s="402"/>
      <c r="D1" s="402"/>
    </row>
    <row r="2" spans="1:4" ht="48" customHeight="1" thickBot="1" x14ac:dyDescent="0.35">
      <c r="A2" s="365" t="s">
        <v>414</v>
      </c>
      <c r="B2" s="366"/>
      <c r="C2" s="366"/>
      <c r="D2" s="366"/>
    </row>
    <row r="3" spans="1:4" ht="15" thickBot="1" x14ac:dyDescent="0.35">
      <c r="A3" s="367" t="s">
        <v>416</v>
      </c>
      <c r="B3" s="368"/>
      <c r="C3" s="368"/>
      <c r="D3" s="369"/>
    </row>
    <row r="4" spans="1:4" x14ac:dyDescent="0.3">
      <c r="A4" s="346"/>
      <c r="B4" s="347"/>
      <c r="C4" s="339"/>
      <c r="D4" s="340"/>
    </row>
    <row r="5" spans="1:4" x14ac:dyDescent="0.3">
      <c r="A5" s="348" t="s">
        <v>63</v>
      </c>
      <c r="B5" s="210" t="s">
        <v>48</v>
      </c>
      <c r="C5" s="210" t="s">
        <v>418</v>
      </c>
      <c r="D5" s="349" t="s">
        <v>47</v>
      </c>
    </row>
    <row r="6" spans="1:4" x14ac:dyDescent="0.3">
      <c r="A6" s="348"/>
      <c r="B6" s="356"/>
      <c r="C6" s="356"/>
      <c r="D6" s="357"/>
    </row>
    <row r="7" spans="1:4" x14ac:dyDescent="0.3">
      <c r="A7" s="63" t="s">
        <v>417</v>
      </c>
      <c r="B7" s="341">
        <v>4490</v>
      </c>
      <c r="C7" s="341">
        <v>35450</v>
      </c>
      <c r="D7" s="350">
        <v>189665</v>
      </c>
    </row>
    <row r="8" spans="1:4" x14ac:dyDescent="0.3">
      <c r="A8" s="63" t="s">
        <v>419</v>
      </c>
      <c r="B8" s="341">
        <f>B7*CCI_2010/2.471</f>
        <v>2284.4093657123849</v>
      </c>
      <c r="C8" s="341">
        <f>C7*CCI_2010/2.471</f>
        <v>18036.14966915458</v>
      </c>
      <c r="D8" s="350">
        <f>D7*CCI_2010/2.471</f>
        <v>96497.216558538872</v>
      </c>
    </row>
    <row r="9" spans="1:4" x14ac:dyDescent="0.3">
      <c r="A9" s="66"/>
      <c r="B9" s="341"/>
      <c r="C9" s="341"/>
      <c r="D9" s="350"/>
    </row>
    <row r="10" spans="1:4" x14ac:dyDescent="0.3">
      <c r="A10" s="63" t="s">
        <v>420</v>
      </c>
      <c r="B10" s="351"/>
      <c r="C10" s="345">
        <f>-PMT(0.07,50,7533618)/54909955</f>
        <v>9.9414546373035664E-3</v>
      </c>
      <c r="D10" s="350"/>
    </row>
    <row r="11" spans="1:4" x14ac:dyDescent="0.3">
      <c r="A11" s="63" t="s">
        <v>421</v>
      </c>
      <c r="B11" s="342"/>
      <c r="C11" s="344">
        <f>C8*C10</f>
        <v>179.30556376751798</v>
      </c>
      <c r="D11" s="352"/>
    </row>
    <row r="12" spans="1:4" x14ac:dyDescent="0.3">
      <c r="A12" s="403"/>
      <c r="B12" s="404"/>
      <c r="C12" s="342"/>
      <c r="D12" s="352"/>
    </row>
    <row r="13" spans="1:4" x14ac:dyDescent="0.3">
      <c r="A13" s="63" t="s">
        <v>112</v>
      </c>
      <c r="B13" s="343"/>
      <c r="C13" s="342">
        <v>50</v>
      </c>
      <c r="D13" s="352"/>
    </row>
    <row r="14" spans="1:4" ht="15" thickBot="1" x14ac:dyDescent="0.35">
      <c r="A14" s="353"/>
      <c r="B14" s="354"/>
      <c r="C14" s="354"/>
      <c r="D14" s="355"/>
    </row>
    <row r="15" spans="1:4" x14ac:dyDescent="0.3">
      <c r="A15" s="351"/>
      <c r="B15" s="356"/>
      <c r="C15" s="356"/>
      <c r="D15" s="356"/>
    </row>
    <row r="16" spans="1:4" x14ac:dyDescent="0.3">
      <c r="A16" s="358" t="s">
        <v>81</v>
      </c>
      <c r="B16" s="356"/>
      <c r="C16" s="356"/>
      <c r="D16" s="356"/>
    </row>
    <row r="17" spans="1:4" x14ac:dyDescent="0.3">
      <c r="A17" s="351" t="s">
        <v>425</v>
      </c>
      <c r="B17" s="356"/>
      <c r="C17" s="356"/>
      <c r="D17" s="356"/>
    </row>
    <row r="19" spans="1:4" x14ac:dyDescent="0.3">
      <c r="A19" s="83" t="s">
        <v>84</v>
      </c>
    </row>
    <row r="20" spans="1:4" x14ac:dyDescent="0.3">
      <c r="A20" s="55" t="s">
        <v>422</v>
      </c>
    </row>
    <row r="21" spans="1:4" x14ac:dyDescent="0.3">
      <c r="A21" s="55" t="s">
        <v>423</v>
      </c>
    </row>
    <row r="22" spans="1:4" x14ac:dyDescent="0.3">
      <c r="A22" s="55" t="s">
        <v>424</v>
      </c>
    </row>
  </sheetData>
  <mergeCells count="4">
    <mergeCell ref="A1:D1"/>
    <mergeCell ref="A2:D2"/>
    <mergeCell ref="A3:D3"/>
    <mergeCell ref="A12:B12"/>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26AB2-48E4-45D3-A942-4E637574D28B}">
  <dimension ref="A1:L50"/>
  <sheetViews>
    <sheetView topLeftCell="A4" zoomScale="90" zoomScaleNormal="90" workbookViewId="0">
      <selection activeCell="J35" sqref="J35"/>
    </sheetView>
    <sheetView workbookViewId="1"/>
  </sheetViews>
  <sheetFormatPr defaultColWidth="9.109375" defaultRowHeight="11.4" x14ac:dyDescent="0.2"/>
  <cols>
    <col min="1" max="1" width="44.88671875" style="40" customWidth="1"/>
    <col min="2" max="2" width="13.33203125" style="40" customWidth="1"/>
    <col min="3" max="3" width="17.6640625" style="132" customWidth="1"/>
    <col min="4" max="4" width="21.5546875" style="40" customWidth="1"/>
    <col min="5" max="5" width="16" style="40" customWidth="1"/>
    <col min="6" max="6" width="21.6640625" style="40" customWidth="1"/>
    <col min="7" max="7" width="18.6640625" style="40" customWidth="1"/>
    <col min="8" max="8" width="25.33203125" style="40" bestFit="1" customWidth="1"/>
    <col min="9" max="9" width="31.33203125" style="40" customWidth="1"/>
    <col min="10" max="10" width="25" style="40" customWidth="1"/>
    <col min="11" max="11" width="5" style="40" customWidth="1"/>
    <col min="12" max="12" width="16.44140625" style="132" customWidth="1"/>
    <col min="13" max="13" width="20" style="40" customWidth="1"/>
    <col min="14" max="14" width="22" style="40" customWidth="1"/>
    <col min="15" max="16384" width="9.109375" style="40"/>
  </cols>
  <sheetData>
    <row r="1" spans="1:5" x14ac:dyDescent="0.2">
      <c r="A1" s="158" t="s">
        <v>237</v>
      </c>
    </row>
    <row r="5" spans="1:5" ht="12" x14ac:dyDescent="0.25">
      <c r="A5" s="159" t="s">
        <v>63</v>
      </c>
      <c r="B5" s="38" t="s">
        <v>238</v>
      </c>
      <c r="C5" s="38" t="s">
        <v>239</v>
      </c>
      <c r="D5" s="38" t="s">
        <v>240</v>
      </c>
      <c r="E5" s="39"/>
    </row>
    <row r="6" spans="1:5" s="40" customFormat="1" x14ac:dyDescent="0.2">
      <c r="A6" s="40" t="s">
        <v>411</v>
      </c>
      <c r="B6" s="160">
        <f>9.5*(15.5/11)*1500*'NASS price index'!B22/'NASS price index'!B20</f>
        <v>19888.477115445108</v>
      </c>
      <c r="C6" s="132" t="s">
        <v>241</v>
      </c>
      <c r="D6" s="160"/>
    </row>
    <row r="7" spans="1:5" s="40" customFormat="1" x14ac:dyDescent="0.2">
      <c r="A7" s="40" t="s">
        <v>242</v>
      </c>
      <c r="B7" s="160">
        <f>6240*11*'NASS price index'!C22</f>
        <v>80114.984709480123</v>
      </c>
      <c r="C7" s="132"/>
      <c r="D7" s="160"/>
    </row>
    <row r="8" spans="1:5" s="40" customFormat="1" x14ac:dyDescent="0.2">
      <c r="A8" s="40" t="s">
        <v>243</v>
      </c>
      <c r="B8" s="160">
        <f>3840*8*'NASS price index'!C22</f>
        <v>35855.657492354738</v>
      </c>
      <c r="C8" s="132" t="s">
        <v>241</v>
      </c>
      <c r="D8" s="160"/>
    </row>
    <row r="9" spans="1:5" s="40" customFormat="1" x14ac:dyDescent="0.2">
      <c r="A9" s="40" t="s">
        <v>244</v>
      </c>
      <c r="B9" s="160">
        <f>2000*'NASS price index'!C22</f>
        <v>2334.3527013251783</v>
      </c>
      <c r="C9" s="132"/>
      <c r="D9" s="160"/>
    </row>
    <row r="10" spans="1:5" s="40" customFormat="1" x14ac:dyDescent="0.2">
      <c r="B10" s="160"/>
      <c r="C10" s="132"/>
      <c r="D10" s="160"/>
    </row>
    <row r="11" spans="1:5" s="40" customFormat="1" x14ac:dyDescent="0.2">
      <c r="A11" s="40" t="s">
        <v>245</v>
      </c>
      <c r="B11" s="160">
        <f>10000*'NASS price index'!C22</f>
        <v>11671.763506625892</v>
      </c>
      <c r="C11" s="132">
        <v>12</v>
      </c>
      <c r="D11" s="161">
        <f t="shared" ref="D11:D18" si="0">-PMT(Annual_rate1,C11,B11)</f>
        <v>1316.8715033010567</v>
      </c>
    </row>
    <row r="12" spans="1:5" s="40" customFormat="1" x14ac:dyDescent="0.2">
      <c r="A12" s="40" t="s">
        <v>246</v>
      </c>
      <c r="B12" s="160">
        <f>15000*'NASS price index'!C22</f>
        <v>17507.645259938839</v>
      </c>
      <c r="C12" s="132">
        <v>12</v>
      </c>
      <c r="D12" s="161">
        <f t="shared" si="0"/>
        <v>1975.3072549515848</v>
      </c>
    </row>
    <row r="13" spans="1:5" x14ac:dyDescent="0.2">
      <c r="A13" s="40" t="s">
        <v>247</v>
      </c>
      <c r="B13" s="161">
        <f>3400*'NASS price index'!D11</f>
        <v>4369.248035914703</v>
      </c>
      <c r="C13" s="132">
        <v>2</v>
      </c>
      <c r="D13" s="161">
        <f t="shared" si="0"/>
        <v>2349.8029071199803</v>
      </c>
    </row>
    <row r="14" spans="1:5" x14ac:dyDescent="0.2">
      <c r="A14" s="40" t="s">
        <v>248</v>
      </c>
      <c r="B14" s="161">
        <f>2407*'NASS price index'!D11</f>
        <v>3093.1705948372614</v>
      </c>
      <c r="C14" s="132">
        <v>4</v>
      </c>
      <c r="D14" s="161">
        <f t="shared" si="0"/>
        <v>872.3107080051991</v>
      </c>
    </row>
    <row r="15" spans="1:5" x14ac:dyDescent="0.2">
      <c r="A15" s="40" t="s">
        <v>249</v>
      </c>
      <c r="B15" s="161">
        <f>3000*'NASS price index'!D11</f>
        <v>3855.2188552188554</v>
      </c>
      <c r="C15" s="132">
        <v>5</v>
      </c>
      <c r="D15" s="161">
        <f t="shared" si="0"/>
        <v>890.45839682446808</v>
      </c>
    </row>
    <row r="16" spans="1:5" x14ac:dyDescent="0.2">
      <c r="A16" s="40" t="s">
        <v>250</v>
      </c>
      <c r="B16" s="161">
        <f>41625*'NASS price index'!D11</f>
        <v>53491.161616161618</v>
      </c>
      <c r="C16" s="132">
        <v>6</v>
      </c>
      <c r="D16" s="161">
        <f t="shared" si="0"/>
        <v>10538.693227889049</v>
      </c>
    </row>
    <row r="17" spans="1:4" x14ac:dyDescent="0.2">
      <c r="A17" s="40" t="s">
        <v>251</v>
      </c>
      <c r="B17" s="161">
        <f>3500*'NASS price index'!D11</f>
        <v>4497.7553310886642</v>
      </c>
      <c r="C17" s="132">
        <v>8</v>
      </c>
      <c r="D17" s="161">
        <f t="shared" si="0"/>
        <v>695.90086207960962</v>
      </c>
    </row>
    <row r="18" spans="1:4" x14ac:dyDescent="0.2">
      <c r="A18" s="40" t="s">
        <v>252</v>
      </c>
      <c r="B18" s="161">
        <f>4000*'NASS price index'!D11</f>
        <v>5140.2918069584739</v>
      </c>
      <c r="C18" s="132">
        <v>10</v>
      </c>
      <c r="D18" s="162">
        <f t="shared" si="0"/>
        <v>665.69130565857631</v>
      </c>
    </row>
    <row r="19" spans="1:4" x14ac:dyDescent="0.2">
      <c r="A19" s="163" t="s">
        <v>253</v>
      </c>
      <c r="B19" s="185"/>
      <c r="C19" s="165"/>
      <c r="D19" s="166">
        <f>SUM(D11:D18)</f>
        <v>19305.036165829522</v>
      </c>
    </row>
    <row r="20" spans="1:4" x14ac:dyDescent="0.2">
      <c r="D20" s="94"/>
    </row>
    <row r="22" spans="1:4" x14ac:dyDescent="0.2">
      <c r="A22" s="40" t="s">
        <v>254</v>
      </c>
      <c r="D22" s="40" t="s">
        <v>255</v>
      </c>
    </row>
    <row r="23" spans="1:4" x14ac:dyDescent="0.2">
      <c r="A23" s="40" t="s">
        <v>256</v>
      </c>
    </row>
    <row r="24" spans="1:4" x14ac:dyDescent="0.2">
      <c r="A24" s="40" t="s">
        <v>257</v>
      </c>
      <c r="D24" s="40" t="s">
        <v>255</v>
      </c>
    </row>
    <row r="25" spans="1:4" x14ac:dyDescent="0.2">
      <c r="A25" s="40" t="s">
        <v>258</v>
      </c>
    </row>
    <row r="26" spans="1:4" x14ac:dyDescent="0.2">
      <c r="A26" s="40" t="s">
        <v>259</v>
      </c>
    </row>
    <row r="27" spans="1:4" x14ac:dyDescent="0.2">
      <c r="A27" s="40" t="s">
        <v>260</v>
      </c>
    </row>
    <row r="28" spans="1:4" x14ac:dyDescent="0.2">
      <c r="A28" s="40" t="s">
        <v>261</v>
      </c>
    </row>
    <row r="29" spans="1:4" x14ac:dyDescent="0.2">
      <c r="A29" s="40" t="s">
        <v>262</v>
      </c>
    </row>
    <row r="31" spans="1:4" x14ac:dyDescent="0.2">
      <c r="A31" s="40" t="s">
        <v>81</v>
      </c>
    </row>
    <row r="32" spans="1:4" x14ac:dyDescent="0.2">
      <c r="A32" s="40" t="s">
        <v>263</v>
      </c>
    </row>
    <row r="33" spans="1:12" x14ac:dyDescent="0.2">
      <c r="A33" s="40" t="s">
        <v>283</v>
      </c>
    </row>
    <row r="34" spans="1:12" x14ac:dyDescent="0.2">
      <c r="A34" s="40" t="s">
        <v>265</v>
      </c>
    </row>
    <row r="35" spans="1:12" x14ac:dyDescent="0.2">
      <c r="A35" s="40" t="s">
        <v>284</v>
      </c>
    </row>
    <row r="36" spans="1:12" x14ac:dyDescent="0.2">
      <c r="A36" s="40" t="s">
        <v>267</v>
      </c>
    </row>
    <row r="37" spans="1:12" x14ac:dyDescent="0.2">
      <c r="A37" s="40" t="s">
        <v>268</v>
      </c>
    </row>
    <row r="38" spans="1:12" x14ac:dyDescent="0.2">
      <c r="A38" s="40" t="s">
        <v>269</v>
      </c>
    </row>
    <row r="39" spans="1:12" x14ac:dyDescent="0.2">
      <c r="A39" s="40" t="s">
        <v>270</v>
      </c>
    </row>
    <row r="40" spans="1:12" x14ac:dyDescent="0.2">
      <c r="A40" s="40" t="s">
        <v>271</v>
      </c>
    </row>
    <row r="41" spans="1:12" x14ac:dyDescent="0.2">
      <c r="A41" s="40" t="s">
        <v>272</v>
      </c>
    </row>
    <row r="42" spans="1:12" x14ac:dyDescent="0.2">
      <c r="A42" s="40" t="s">
        <v>412</v>
      </c>
    </row>
    <row r="43" spans="1:12" ht="12" thickBot="1" x14ac:dyDescent="0.25">
      <c r="A43" s="167"/>
      <c r="B43" s="167"/>
      <c r="C43" s="168"/>
      <c r="D43" s="167"/>
      <c r="E43" s="167"/>
      <c r="F43" s="167"/>
      <c r="G43" s="167"/>
      <c r="H43" s="167"/>
      <c r="I43" s="301"/>
      <c r="J43" s="301"/>
    </row>
    <row r="44" spans="1:12" ht="14.25" customHeight="1" x14ac:dyDescent="0.25">
      <c r="A44" s="169"/>
      <c r="B44" s="392" t="s">
        <v>285</v>
      </c>
      <c r="C44" s="392" t="s">
        <v>286</v>
      </c>
      <c r="D44" s="394" t="s">
        <v>298</v>
      </c>
      <c r="E44" s="395"/>
      <c r="F44" s="396"/>
      <c r="G44" s="397" t="s">
        <v>295</v>
      </c>
      <c r="H44" s="392" t="s">
        <v>299</v>
      </c>
      <c r="I44" s="399" t="s">
        <v>296</v>
      </c>
      <c r="J44" s="390" t="s">
        <v>297</v>
      </c>
      <c r="L44" s="40"/>
    </row>
    <row r="45" spans="1:12" ht="20.25" customHeight="1" x14ac:dyDescent="0.25">
      <c r="A45" s="169" t="s">
        <v>274</v>
      </c>
      <c r="B45" s="393"/>
      <c r="C45" s="393"/>
      <c r="D45" s="170" t="s">
        <v>275</v>
      </c>
      <c r="E45" s="171" t="s">
        <v>276</v>
      </c>
      <c r="F45" s="172" t="s">
        <v>277</v>
      </c>
      <c r="G45" s="398"/>
      <c r="H45" s="393"/>
      <c r="I45" s="400"/>
      <c r="J45" s="391"/>
      <c r="L45" s="40"/>
    </row>
    <row r="46" spans="1:12" ht="15" thickBot="1" x14ac:dyDescent="0.35">
      <c r="A46" s="3" t="s">
        <v>287</v>
      </c>
      <c r="B46" s="132">
        <v>2.25</v>
      </c>
      <c r="C46" s="186">
        <f>B46/1.33</f>
        <v>1.6917293233082706</v>
      </c>
      <c r="D46" s="174">
        <f>$B$6</f>
        <v>19888.477115445108</v>
      </c>
      <c r="E46" s="175">
        <f>-PV(Annual_rate1,C46,$D$19)</f>
        <v>30588.893500867569</v>
      </c>
      <c r="F46" s="176">
        <f>SUM(D46:E46)</f>
        <v>50477.370616312677</v>
      </c>
      <c r="G46" s="177">
        <f>+$G$47*B46/$B$47</f>
        <v>6.8343425605536343E-2</v>
      </c>
      <c r="H46" s="306">
        <f>(G46*1000000)/(1+Annual_rate1)^C46</f>
        <v>62928.906437132624</v>
      </c>
      <c r="I46" s="302">
        <f>(F46-H46)/1000000</f>
        <v>-1.2451535820819946E-2</v>
      </c>
      <c r="J46" s="303">
        <f>+($B$7+$B$8+$B$9)/(1000000)</f>
        <v>0.11830499490316003</v>
      </c>
      <c r="L46" s="40"/>
    </row>
    <row r="47" spans="1:12" ht="15" thickBot="1" x14ac:dyDescent="0.35">
      <c r="A47" t="s">
        <v>288</v>
      </c>
      <c r="B47" s="132">
        <v>3</v>
      </c>
      <c r="C47" s="187">
        <f>B47/1.33</f>
        <v>2.255639097744361</v>
      </c>
      <c r="D47" s="174">
        <f t="shared" ref="D47:D50" si="1">$B$6</f>
        <v>19888.477115445108</v>
      </c>
      <c r="E47" s="175">
        <f>-PV(Annual_rate1,C47,$D$19)</f>
        <v>40236.84763040633</v>
      </c>
      <c r="F47" s="176">
        <f>SUM(D47:E47)</f>
        <v>60125.324745851438</v>
      </c>
      <c r="G47" s="178">
        <f>(46/500)*'NASS price index'!B22/'NASS price index'!B20</f>
        <v>9.1124567474048457E-2</v>
      </c>
      <c r="H47" s="306">
        <f>(G47*1000000)/(1+Annual_rate1)^C47</f>
        <v>81628.171545689882</v>
      </c>
      <c r="I47" s="302">
        <f t="shared" ref="I47:I50" si="2">(F47-H47)/1000000</f>
        <v>-2.1502846799838445E-2</v>
      </c>
      <c r="J47" s="303">
        <f t="shared" ref="J47:J50" si="3">+($B$7+$B$8+$B$9)/(1000000)</f>
        <v>0.11830499490316003</v>
      </c>
      <c r="L47" s="40"/>
    </row>
    <row r="48" spans="1:12" ht="14.4" x14ac:dyDescent="0.3">
      <c r="A48" t="s">
        <v>289</v>
      </c>
      <c r="B48" s="132">
        <v>4</v>
      </c>
      <c r="C48" s="187">
        <f>B48/1.33</f>
        <v>3.007518796992481</v>
      </c>
      <c r="D48" s="174">
        <f t="shared" si="1"/>
        <v>19888.477115445108</v>
      </c>
      <c r="E48" s="175">
        <f>-PV(Annual_rate1,C48,$D$19)</f>
        <v>52694.731899500192</v>
      </c>
      <c r="F48" s="176">
        <f>SUM(D48:E48)</f>
        <v>72583.2090149453</v>
      </c>
      <c r="G48" s="177">
        <f t="shared" ref="G48:G50" si="4">+$G$47*B48/$B$47</f>
        <v>0.12149942329873127</v>
      </c>
      <c r="H48" s="306">
        <f>(G48*1000000)/(1+Annual_rate1)^C48</f>
        <v>104917.27478143678</v>
      </c>
      <c r="I48" s="302">
        <f t="shared" si="2"/>
        <v>-3.2334065766491477E-2</v>
      </c>
      <c r="J48" s="303">
        <f t="shared" si="3"/>
        <v>0.11830499490316003</v>
      </c>
      <c r="L48" s="40"/>
    </row>
    <row r="49" spans="1:12" ht="14.4" x14ac:dyDescent="0.3">
      <c r="A49" t="s">
        <v>290</v>
      </c>
      <c r="B49" s="132">
        <v>5</v>
      </c>
      <c r="C49" s="187">
        <f>B49/1.33</f>
        <v>3.7593984962406015</v>
      </c>
      <c r="D49" s="174">
        <f t="shared" si="1"/>
        <v>19888.477115445108</v>
      </c>
      <c r="E49" s="175">
        <f>-PV(Annual_rate1,C49,$D$19)</f>
        <v>64703.887951013581</v>
      </c>
      <c r="F49" s="176">
        <f>SUM(D49:E49)</f>
        <v>84592.365066458689</v>
      </c>
      <c r="G49" s="177">
        <f t="shared" si="4"/>
        <v>0.15187427912341409</v>
      </c>
      <c r="H49" s="306">
        <f>(G49*1000000)/(1+Annual_rate1)^C49</f>
        <v>126422.74343441038</v>
      </c>
      <c r="I49" s="302">
        <f t="shared" si="2"/>
        <v>-4.1830378367951691E-2</v>
      </c>
      <c r="J49" s="303">
        <f t="shared" si="3"/>
        <v>0.11830499490316003</v>
      </c>
      <c r="L49" s="40"/>
    </row>
    <row r="50" spans="1:12" ht="15" thickBot="1" x14ac:dyDescent="0.35">
      <c r="A50" s="1" t="s">
        <v>291</v>
      </c>
      <c r="B50" s="168">
        <v>6</v>
      </c>
      <c r="C50" s="188">
        <f>B50/1.33</f>
        <v>4.511278195488722</v>
      </c>
      <c r="D50" s="180">
        <f t="shared" si="1"/>
        <v>19888.477115445108</v>
      </c>
      <c r="E50" s="181">
        <f>-PV(Annual_rate1,C50,$D$19)</f>
        <v>76280.47880339362</v>
      </c>
      <c r="F50" s="182">
        <f>SUM(D50:E50)</f>
        <v>96168.955918838736</v>
      </c>
      <c r="G50" s="183">
        <f t="shared" si="4"/>
        <v>0.18224913494809691</v>
      </c>
      <c r="H50" s="181">
        <f>(G50*1000000)/(1+Annual_rate1)^C50</f>
        <v>146242.853592478</v>
      </c>
      <c r="I50" s="304">
        <f t="shared" si="2"/>
        <v>-5.0073897673639269E-2</v>
      </c>
      <c r="J50" s="305">
        <f t="shared" si="3"/>
        <v>0.11830499490316003</v>
      </c>
      <c r="L50" s="40"/>
    </row>
  </sheetData>
  <mergeCells count="7">
    <mergeCell ref="J44:J45"/>
    <mergeCell ref="B44:B45"/>
    <mergeCell ref="C44:C45"/>
    <mergeCell ref="D44:F44"/>
    <mergeCell ref="G44:G45"/>
    <mergeCell ref="H44:H45"/>
    <mergeCell ref="I44:I4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E5370-D73A-4017-B8F6-08C8E2A9CC05}">
  <dimension ref="A1:G35"/>
  <sheetViews>
    <sheetView workbookViewId="0">
      <selection activeCell="J29" sqref="J29"/>
    </sheetView>
    <sheetView workbookViewId="1"/>
  </sheetViews>
  <sheetFormatPr defaultColWidth="9.109375" defaultRowHeight="11.4" x14ac:dyDescent="0.2"/>
  <cols>
    <col min="1" max="1" width="64.6640625" style="40" customWidth="1"/>
    <col min="2" max="2" width="17.5546875" style="40" customWidth="1"/>
    <col min="3" max="3" width="16.6640625" style="40" customWidth="1"/>
    <col min="4" max="4" width="16.33203125" style="40" customWidth="1"/>
    <col min="5" max="5" width="17.44140625" style="40" customWidth="1"/>
    <col min="6" max="6" width="14" style="40" customWidth="1"/>
    <col min="7" max="16384" width="9.109375" style="40"/>
  </cols>
  <sheetData>
    <row r="1" spans="1:7" s="37" customFormat="1" x14ac:dyDescent="0.2">
      <c r="A1" s="248" t="s">
        <v>382</v>
      </c>
    </row>
    <row r="2" spans="1:7" ht="12" x14ac:dyDescent="0.25">
      <c r="A2" s="38" t="s">
        <v>63</v>
      </c>
      <c r="B2" s="87" t="s">
        <v>383</v>
      </c>
      <c r="C2" s="88" t="s">
        <v>384</v>
      </c>
      <c r="D2" s="88" t="s">
        <v>385</v>
      </c>
      <c r="E2" s="88" t="s">
        <v>386</v>
      </c>
      <c r="F2" s="89" t="s">
        <v>49</v>
      </c>
    </row>
    <row r="3" spans="1:7" x14ac:dyDescent="0.2">
      <c r="A3" s="40" t="s">
        <v>387</v>
      </c>
      <c r="B3" s="249"/>
      <c r="C3" s="250">
        <f>1132.52/0.75</f>
        <v>1510.0266666666666</v>
      </c>
      <c r="D3" s="249">
        <v>1823.39</v>
      </c>
      <c r="E3" s="249">
        <v>1718.46</v>
      </c>
      <c r="F3" s="41">
        <f t="shared" ref="F3:F10" si="0">AVERAGE(B3:E3)</f>
        <v>1683.9588888888891</v>
      </c>
    </row>
    <row r="4" spans="1:7" x14ac:dyDescent="0.2">
      <c r="A4" s="40" t="s">
        <v>388</v>
      </c>
      <c r="B4" s="249">
        <f>462.25/0.75</f>
        <v>616.33333333333337</v>
      </c>
      <c r="C4" s="250">
        <f>601.06/0.75</f>
        <v>801.4133333333333</v>
      </c>
      <c r="D4" s="249">
        <v>934.23</v>
      </c>
      <c r="E4" s="249">
        <v>895.76</v>
      </c>
      <c r="F4" s="41">
        <f t="shared" si="0"/>
        <v>811.93416666666667</v>
      </c>
    </row>
    <row r="5" spans="1:7" x14ac:dyDescent="0.2">
      <c r="A5" s="40" t="s">
        <v>389</v>
      </c>
      <c r="B5" s="249"/>
      <c r="C5" s="250">
        <f>995.39/0.75</f>
        <v>1327.1866666666667</v>
      </c>
      <c r="D5" s="249">
        <v>1533.47</v>
      </c>
      <c r="E5" s="249">
        <v>1435</v>
      </c>
      <c r="F5" s="41">
        <f t="shared" si="0"/>
        <v>1431.8855555555556</v>
      </c>
    </row>
    <row r="6" spans="1:7" x14ac:dyDescent="0.2">
      <c r="A6" s="40" t="s">
        <v>390</v>
      </c>
      <c r="B6" s="249"/>
      <c r="C6" s="250">
        <f>255.46/0.75</f>
        <v>340.61333333333334</v>
      </c>
      <c r="D6" s="249">
        <v>361.92</v>
      </c>
      <c r="E6" s="249"/>
      <c r="F6" s="41">
        <f t="shared" si="0"/>
        <v>351.26666666666665</v>
      </c>
    </row>
    <row r="7" spans="1:7" x14ac:dyDescent="0.2">
      <c r="A7" s="40" t="s">
        <v>391</v>
      </c>
      <c r="B7" s="249"/>
      <c r="C7" s="250">
        <f>610.77/0.75</f>
        <v>814.36</v>
      </c>
      <c r="D7" s="249">
        <v>854.97</v>
      </c>
      <c r="E7" s="249"/>
      <c r="F7" s="41">
        <f t="shared" si="0"/>
        <v>834.66499999999996</v>
      </c>
    </row>
    <row r="8" spans="1:7" x14ac:dyDescent="0.2">
      <c r="A8" s="40" t="s">
        <v>392</v>
      </c>
      <c r="B8" s="249"/>
      <c r="C8" s="250">
        <f>256.98/0.75</f>
        <v>342.64000000000004</v>
      </c>
      <c r="D8" s="249"/>
      <c r="E8" s="249"/>
      <c r="F8" s="41">
        <f t="shared" si="0"/>
        <v>342.64000000000004</v>
      </c>
    </row>
    <row r="9" spans="1:7" x14ac:dyDescent="0.2">
      <c r="A9" s="40" t="s">
        <v>393</v>
      </c>
      <c r="B9" s="251">
        <v>523.03027681660899</v>
      </c>
      <c r="C9" s="251">
        <v>726.449169550173</v>
      </c>
      <c r="D9" s="251">
        <v>934.83189965397924</v>
      </c>
      <c r="E9" s="251">
        <v>1145.4108477508651</v>
      </c>
      <c r="F9" s="48">
        <f t="shared" si="0"/>
        <v>832.43054844290668</v>
      </c>
    </row>
    <row r="10" spans="1:7" x14ac:dyDescent="0.2">
      <c r="A10" s="40" t="s">
        <v>394</v>
      </c>
      <c r="B10" s="252">
        <v>15</v>
      </c>
      <c r="C10" s="252">
        <v>15</v>
      </c>
      <c r="D10" s="252">
        <v>15</v>
      </c>
      <c r="E10" s="252">
        <v>15</v>
      </c>
      <c r="F10" s="91">
        <f t="shared" si="0"/>
        <v>15</v>
      </c>
    </row>
    <row r="11" spans="1:7" x14ac:dyDescent="0.2">
      <c r="A11" s="40" t="s">
        <v>395</v>
      </c>
      <c r="B11" s="249">
        <v>37</v>
      </c>
      <c r="C11" s="249">
        <v>37</v>
      </c>
      <c r="D11" s="249">
        <v>37</v>
      </c>
      <c r="E11" s="249">
        <v>37</v>
      </c>
      <c r="F11" s="41">
        <f>AVERAGE(B11:E11)</f>
        <v>37</v>
      </c>
    </row>
    <row r="12" spans="1:7" x14ac:dyDescent="0.2">
      <c r="A12" s="40" t="s">
        <v>396</v>
      </c>
      <c r="B12" s="251">
        <v>44.645756457564573</v>
      </c>
      <c r="C12" s="251">
        <v>44.645756457564573</v>
      </c>
      <c r="D12" s="251">
        <v>44.645756457564573</v>
      </c>
      <c r="E12" s="251">
        <v>44.645756457564573</v>
      </c>
      <c r="F12" s="48">
        <f>AVERAGE(B12:E12)</f>
        <v>44.645756457564573</v>
      </c>
    </row>
    <row r="13" spans="1:7" x14ac:dyDescent="0.2">
      <c r="A13" s="40" t="s">
        <v>133</v>
      </c>
      <c r="B13" s="249">
        <v>59.03478260869565</v>
      </c>
      <c r="C13" s="249">
        <v>203.5</v>
      </c>
      <c r="D13" s="249">
        <f>AVERAGE(B13:C13,E13)</f>
        <v>134.05921325051759</v>
      </c>
      <c r="E13" s="249">
        <v>139.64285714285714</v>
      </c>
      <c r="F13" s="41">
        <f>AVERAGE(B13:E13)</f>
        <v>134.05921325051759</v>
      </c>
      <c r="G13" s="41"/>
    </row>
    <row r="14" spans="1:7" x14ac:dyDescent="0.2">
      <c r="A14" s="40" t="s">
        <v>397</v>
      </c>
      <c r="B14" s="249">
        <v>50.389933357408438</v>
      </c>
      <c r="C14" s="249">
        <v>69.9877748262995</v>
      </c>
      <c r="D14" s="249">
        <v>90.063843742759943</v>
      </c>
      <c r="E14" s="249">
        <v>110.35150132476227</v>
      </c>
      <c r="F14" s="41">
        <f>AVERAGE(B14:E14)</f>
        <v>80.198263312807541</v>
      </c>
      <c r="G14" s="41"/>
    </row>
    <row r="15" spans="1:7" ht="12" x14ac:dyDescent="0.25">
      <c r="A15" s="54" t="s">
        <v>398</v>
      </c>
      <c r="B15" s="93">
        <f>B14+B13+B12</f>
        <v>154.07047242366866</v>
      </c>
      <c r="C15" s="93">
        <f>C14+C13+C12</f>
        <v>318.1335312838641</v>
      </c>
      <c r="D15" s="93">
        <f>D14+D13+D12</f>
        <v>268.76881345084212</v>
      </c>
      <c r="E15" s="93">
        <f>E14+E13+E12</f>
        <v>294.64011492518398</v>
      </c>
      <c r="F15" s="93">
        <f>AVERAGE(B15:E15)</f>
        <v>258.90323302088973</v>
      </c>
    </row>
    <row r="16" spans="1:7" ht="12.6" thickBot="1" x14ac:dyDescent="0.3">
      <c r="A16" s="54"/>
      <c r="B16" s="93"/>
      <c r="C16" s="93"/>
      <c r="D16" s="93"/>
      <c r="E16" s="93"/>
      <c r="F16" s="93"/>
    </row>
    <row r="17" spans="1:7" ht="12" x14ac:dyDescent="0.25">
      <c r="A17" s="254" t="s">
        <v>340</v>
      </c>
      <c r="B17" s="255">
        <f>+B9*NASS_2018</f>
        <v>610.4685697808535</v>
      </c>
      <c r="C17" s="255">
        <f>+C9*NASS_2018</f>
        <v>847.89429065743946</v>
      </c>
      <c r="D17" s="255">
        <f>+D9*NASS_2018</f>
        <v>1091.1136851211072</v>
      </c>
      <c r="E17" s="255">
        <f>+E9*NASS_2018</f>
        <v>1336.8964532871971</v>
      </c>
      <c r="F17" s="256">
        <f t="shared" ref="F17" si="1">AVERAGE(B17:E17)</f>
        <v>971.59324971164938</v>
      </c>
    </row>
    <row r="18" spans="1:7" ht="12" x14ac:dyDescent="0.25">
      <c r="A18" s="257" t="s">
        <v>405</v>
      </c>
      <c r="B18" s="253">
        <f>+B12*NASS_2018</f>
        <v>52.109471094710941</v>
      </c>
      <c r="C18" s="253">
        <f>+C12*NASS_2018</f>
        <v>52.109471094710941</v>
      </c>
      <c r="D18" s="253">
        <f>+D12*NASS_2018</f>
        <v>52.109471094710941</v>
      </c>
      <c r="E18" s="253">
        <f>+E12*NASS_2018</f>
        <v>52.109471094710941</v>
      </c>
      <c r="F18" s="258">
        <f>AVERAGE(B18:E18)</f>
        <v>52.109471094710941</v>
      </c>
    </row>
    <row r="19" spans="1:7" ht="12.6" thickBot="1" x14ac:dyDescent="0.3">
      <c r="A19" s="259" t="s">
        <v>406</v>
      </c>
      <c r="B19" s="260">
        <v>1136.0195268506072</v>
      </c>
      <c r="C19" s="260">
        <v>2076.6103352264404</v>
      </c>
      <c r="D19" s="260">
        <v>1096.7634843253875</v>
      </c>
      <c r="E19" s="260">
        <v>1770.2313684987007</v>
      </c>
      <c r="F19" s="261">
        <v>1565.0148210785758</v>
      </c>
      <c r="G19" s="41"/>
    </row>
    <row r="20" spans="1:7" x14ac:dyDescent="0.2">
      <c r="B20" s="249"/>
      <c r="C20" s="249"/>
      <c r="D20" s="249"/>
      <c r="E20" s="249"/>
      <c r="F20" s="41"/>
      <c r="G20" s="41"/>
    </row>
    <row r="21" spans="1:7" ht="12" x14ac:dyDescent="0.25">
      <c r="A21" s="54" t="s">
        <v>81</v>
      </c>
    </row>
    <row r="22" spans="1:7" x14ac:dyDescent="0.2">
      <c r="A22" s="40" t="s">
        <v>146</v>
      </c>
    </row>
    <row r="24" spans="1:7" ht="12" x14ac:dyDescent="0.25">
      <c r="A24" s="54" t="s">
        <v>84</v>
      </c>
    </row>
    <row r="25" spans="1:7" x14ac:dyDescent="0.2">
      <c r="A25" s="40" t="s">
        <v>399</v>
      </c>
    </row>
    <row r="26" spans="1:7" x14ac:dyDescent="0.2">
      <c r="A26" s="46" t="s">
        <v>400</v>
      </c>
      <c r="B26" s="46"/>
      <c r="C26" s="46"/>
      <c r="D26" s="46"/>
      <c r="E26" s="46"/>
    </row>
    <row r="27" spans="1:7" ht="13.5" customHeight="1" x14ac:dyDescent="0.2">
      <c r="A27" s="46" t="s">
        <v>401</v>
      </c>
      <c r="B27" s="46"/>
      <c r="C27" s="46"/>
      <c r="D27" s="46"/>
      <c r="E27" s="46"/>
    </row>
    <row r="28" spans="1:7" ht="13.5" customHeight="1" x14ac:dyDescent="0.2">
      <c r="A28" s="40" t="s">
        <v>402</v>
      </c>
      <c r="F28" s="46"/>
    </row>
    <row r="29" spans="1:7" ht="13.5" customHeight="1" x14ac:dyDescent="0.2">
      <c r="A29" s="40" t="s">
        <v>403</v>
      </c>
    </row>
    <row r="30" spans="1:7" ht="13.5" customHeight="1" x14ac:dyDescent="0.2"/>
    <row r="32" spans="1:7" x14ac:dyDescent="0.2">
      <c r="F32" s="46"/>
    </row>
    <row r="33" spans="1:5" x14ac:dyDescent="0.2">
      <c r="A33" s="46"/>
      <c r="B33" s="46"/>
      <c r="C33" s="46"/>
      <c r="D33" s="46"/>
      <c r="E33" s="46"/>
    </row>
    <row r="34" spans="1:5" x14ac:dyDescent="0.2">
      <c r="A34" s="46"/>
      <c r="B34" s="46"/>
      <c r="C34" s="46"/>
      <c r="D34" s="46"/>
      <c r="E34" s="46"/>
    </row>
    <row r="35" spans="1:5" x14ac:dyDescent="0.2">
      <c r="A35" s="46"/>
      <c r="B35" s="46"/>
      <c r="C35" s="46"/>
      <c r="D35" s="46"/>
      <c r="E35" s="4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A699-A4DA-488F-A16B-7A6CCFE860AC}">
  <sheetPr codeName="Sheet3">
    <tabColor rgb="FF0070C0"/>
  </sheetPr>
  <dimension ref="A1:G22"/>
  <sheetViews>
    <sheetView workbookViewId="0">
      <selection activeCell="G27" sqref="G27"/>
    </sheetView>
    <sheetView workbookViewId="1"/>
  </sheetViews>
  <sheetFormatPr defaultColWidth="9.109375" defaultRowHeight="13.2" x14ac:dyDescent="0.25"/>
  <cols>
    <col min="1" max="1" width="9.109375" style="103"/>
    <col min="2" max="2" width="17.5546875" style="103" customWidth="1"/>
    <col min="3" max="3" width="16.88671875" style="103" customWidth="1"/>
    <col min="4" max="4" width="14.44140625" style="103" customWidth="1"/>
    <col min="5" max="6" width="9.109375" style="103"/>
    <col min="7" max="7" width="31.88671875" style="103" customWidth="1"/>
    <col min="8" max="16384" width="9.109375" style="103"/>
  </cols>
  <sheetData>
    <row r="1" spans="1:7" x14ac:dyDescent="0.25">
      <c r="A1" s="107" t="s">
        <v>162</v>
      </c>
    </row>
    <row r="2" spans="1:7" x14ac:dyDescent="0.25">
      <c r="A2" s="107"/>
    </row>
    <row r="3" spans="1:7" ht="13.8" thickBot="1" x14ac:dyDescent="0.3">
      <c r="A3" s="104" t="s">
        <v>161</v>
      </c>
      <c r="B3" s="104" t="s">
        <v>160</v>
      </c>
      <c r="C3" s="104" t="s">
        <v>159</v>
      </c>
      <c r="D3" s="104" t="s">
        <v>294</v>
      </c>
    </row>
    <row r="4" spans="1:7" x14ac:dyDescent="0.25">
      <c r="A4" s="106">
        <v>2000</v>
      </c>
      <c r="B4" s="104">
        <v>71.7</v>
      </c>
      <c r="C4" s="104">
        <f t="shared" ref="C4:C22" si="0">B4/$B$14</f>
        <v>0.73088685015290522</v>
      </c>
      <c r="D4" s="104">
        <f t="shared" ref="D4:D22" si="1">+$B$22/B4</f>
        <v>1.596931659693166</v>
      </c>
      <c r="G4" s="246"/>
    </row>
    <row r="5" spans="1:7" x14ac:dyDescent="0.25">
      <c r="A5" s="104">
        <v>2001</v>
      </c>
      <c r="B5" s="104">
        <v>73.3</v>
      </c>
      <c r="C5" s="104">
        <f t="shared" si="0"/>
        <v>0.74719673802242614</v>
      </c>
      <c r="D5" s="104">
        <f t="shared" si="1"/>
        <v>1.5620736698499318</v>
      </c>
      <c r="G5" s="247"/>
    </row>
    <row r="6" spans="1:7" x14ac:dyDescent="0.25">
      <c r="A6" s="106">
        <v>2002</v>
      </c>
      <c r="B6" s="104">
        <v>73.2</v>
      </c>
      <c r="C6" s="104">
        <f t="shared" si="0"/>
        <v>0.74617737003058116</v>
      </c>
      <c r="D6" s="104">
        <f t="shared" si="1"/>
        <v>1.5642076502732241</v>
      </c>
    </row>
    <row r="7" spans="1:7" x14ac:dyDescent="0.25">
      <c r="A7" s="104">
        <v>2003</v>
      </c>
      <c r="B7" s="104">
        <v>75.8</v>
      </c>
      <c r="C7" s="104">
        <f t="shared" si="0"/>
        <v>0.77268093781855252</v>
      </c>
      <c r="D7" s="104">
        <f t="shared" si="1"/>
        <v>1.5105540897097627</v>
      </c>
    </row>
    <row r="8" spans="1:7" x14ac:dyDescent="0.25">
      <c r="A8" s="106">
        <v>2004</v>
      </c>
      <c r="B8" s="104">
        <v>77.599999999999994</v>
      </c>
      <c r="C8" s="104">
        <f t="shared" si="0"/>
        <v>0.79102956167176353</v>
      </c>
      <c r="D8" s="104">
        <f t="shared" si="1"/>
        <v>1.4755154639175259</v>
      </c>
    </row>
    <row r="9" spans="1:7" x14ac:dyDescent="0.25">
      <c r="A9" s="104">
        <v>2005</v>
      </c>
      <c r="B9" s="104">
        <v>81.3</v>
      </c>
      <c r="C9" s="104">
        <f t="shared" si="0"/>
        <v>0.82874617737003065</v>
      </c>
      <c r="D9" s="104">
        <f t="shared" si="1"/>
        <v>1.4083640836408364</v>
      </c>
    </row>
    <row r="10" spans="1:7" x14ac:dyDescent="0.25">
      <c r="A10" s="106">
        <v>2006</v>
      </c>
      <c r="B10" s="104">
        <v>84.8</v>
      </c>
      <c r="C10" s="104">
        <f t="shared" si="0"/>
        <v>0.86442405708460757</v>
      </c>
      <c r="D10" s="104">
        <f t="shared" si="1"/>
        <v>1.3502358490566038</v>
      </c>
    </row>
    <row r="11" spans="1:7" x14ac:dyDescent="0.25">
      <c r="A11" s="104">
        <v>2007</v>
      </c>
      <c r="B11" s="104">
        <v>89.1</v>
      </c>
      <c r="C11" s="104">
        <f t="shared" si="0"/>
        <v>0.90825688073394495</v>
      </c>
      <c r="D11" s="104">
        <f t="shared" si="1"/>
        <v>1.2850729517396184</v>
      </c>
    </row>
    <row r="12" spans="1:7" x14ac:dyDescent="0.25">
      <c r="A12" s="106">
        <v>2008</v>
      </c>
      <c r="B12" s="104">
        <v>89</v>
      </c>
      <c r="C12" s="104">
        <f t="shared" si="0"/>
        <v>0.90723751274209996</v>
      </c>
      <c r="D12" s="104">
        <f t="shared" si="1"/>
        <v>1.2865168539325842</v>
      </c>
    </row>
    <row r="13" spans="1:7" x14ac:dyDescent="0.25">
      <c r="A13" s="104">
        <v>2009</v>
      </c>
      <c r="B13" s="104">
        <v>95.3</v>
      </c>
      <c r="C13" s="104">
        <f t="shared" si="0"/>
        <v>0.97145769622833844</v>
      </c>
      <c r="D13" s="104">
        <f t="shared" si="1"/>
        <v>1.2014690451206715</v>
      </c>
    </row>
    <row r="14" spans="1:7" x14ac:dyDescent="0.25">
      <c r="A14" s="106">
        <v>2010</v>
      </c>
      <c r="B14" s="104">
        <v>98.1</v>
      </c>
      <c r="C14" s="104">
        <f t="shared" si="0"/>
        <v>1</v>
      </c>
      <c r="D14" s="104">
        <f t="shared" si="1"/>
        <v>1.1671763506625892</v>
      </c>
    </row>
    <row r="15" spans="1:7" x14ac:dyDescent="0.25">
      <c r="A15" s="104">
        <v>2011</v>
      </c>
      <c r="B15" s="104">
        <v>100</v>
      </c>
      <c r="C15" s="104">
        <f t="shared" si="0"/>
        <v>1.0193679918450562</v>
      </c>
      <c r="D15" s="104">
        <f t="shared" si="1"/>
        <v>1.145</v>
      </c>
    </row>
    <row r="16" spans="1:7" x14ac:dyDescent="0.25">
      <c r="A16" s="106">
        <v>2012</v>
      </c>
      <c r="B16" s="105">
        <v>101.8</v>
      </c>
      <c r="C16" s="104">
        <f t="shared" si="0"/>
        <v>1.0377166156982671</v>
      </c>
      <c r="D16" s="104">
        <f t="shared" si="1"/>
        <v>1.1247544204322202</v>
      </c>
    </row>
    <row r="17" spans="1:4" x14ac:dyDescent="0.25">
      <c r="A17" s="104">
        <v>2013</v>
      </c>
      <c r="B17" s="105">
        <v>105.5</v>
      </c>
      <c r="C17" s="104">
        <f t="shared" si="0"/>
        <v>1.0754332313965342</v>
      </c>
      <c r="D17" s="104">
        <f t="shared" si="1"/>
        <v>1.0853080568720379</v>
      </c>
    </row>
    <row r="18" spans="1:4" x14ac:dyDescent="0.25">
      <c r="A18" s="106">
        <v>2014</v>
      </c>
      <c r="B18" s="105">
        <v>109.1</v>
      </c>
      <c r="C18" s="104">
        <f t="shared" si="0"/>
        <v>1.1121304791029563</v>
      </c>
      <c r="D18" s="104">
        <f t="shared" si="1"/>
        <v>1.0494958753437214</v>
      </c>
    </row>
    <row r="19" spans="1:4" x14ac:dyDescent="0.25">
      <c r="A19" s="104">
        <v>2015</v>
      </c>
      <c r="B19" s="105">
        <v>113.7</v>
      </c>
      <c r="C19" s="104">
        <f t="shared" si="0"/>
        <v>1.1590214067278288</v>
      </c>
      <c r="D19" s="104">
        <f t="shared" si="1"/>
        <v>1.0070360598065082</v>
      </c>
    </row>
    <row r="20" spans="1:4" x14ac:dyDescent="0.25">
      <c r="A20" s="106">
        <v>2016</v>
      </c>
      <c r="B20" s="105">
        <v>115.6</v>
      </c>
      <c r="C20" s="104">
        <f t="shared" si="0"/>
        <v>1.1783893985728848</v>
      </c>
      <c r="D20" s="104">
        <f t="shared" si="1"/>
        <v>0.99048442906574397</v>
      </c>
    </row>
    <row r="21" spans="1:4" x14ac:dyDescent="0.25">
      <c r="A21" s="104">
        <v>2017</v>
      </c>
      <c r="B21" s="105">
        <v>112.4</v>
      </c>
      <c r="C21" s="104">
        <f t="shared" si="0"/>
        <v>1.1457696228338432</v>
      </c>
      <c r="D21" s="104">
        <f t="shared" si="1"/>
        <v>1.0186832740213523</v>
      </c>
    </row>
    <row r="22" spans="1:4" x14ac:dyDescent="0.25">
      <c r="A22" s="106">
        <v>2018</v>
      </c>
      <c r="B22" s="105">
        <v>114.5</v>
      </c>
      <c r="C22" s="104">
        <f t="shared" si="0"/>
        <v>1.1671763506625892</v>
      </c>
      <c r="D22" s="104">
        <f t="shared" si="1"/>
        <v>1</v>
      </c>
    </row>
  </sheetData>
  <phoneticPr fontId="24"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6148" r:id="rId4" name="Control 4">
          <controlPr defaultSize="0" r:id="rId5">
            <anchor moveWithCells="1">
              <from>
                <xdr:col>6</xdr:col>
                <xdr:colOff>2179320</xdr:colOff>
                <xdr:row>2</xdr:row>
                <xdr:rowOff>167640</xdr:rowOff>
              </from>
              <to>
                <xdr:col>7</xdr:col>
                <xdr:colOff>213360</xdr:colOff>
                <xdr:row>4</xdr:row>
                <xdr:rowOff>45720</xdr:rowOff>
              </to>
            </anchor>
          </controlPr>
        </control>
      </mc:Choice>
      <mc:Fallback>
        <control shapeId="6148" r:id="rId4" name="Control 4"/>
      </mc:Fallback>
    </mc:AlternateContent>
    <mc:AlternateContent xmlns:mc="http://schemas.openxmlformats.org/markup-compatibility/2006">
      <mc:Choice Requires="x14">
        <control shapeId="6147" r:id="rId6" name="Control 3">
          <controlPr defaultSize="0" r:id="rId5">
            <anchor moveWithCells="1">
              <from>
                <xdr:col>6</xdr:col>
                <xdr:colOff>2179320</xdr:colOff>
                <xdr:row>2</xdr:row>
                <xdr:rowOff>167640</xdr:rowOff>
              </from>
              <to>
                <xdr:col>7</xdr:col>
                <xdr:colOff>213360</xdr:colOff>
                <xdr:row>4</xdr:row>
                <xdr:rowOff>45720</xdr:rowOff>
              </to>
            </anchor>
          </controlPr>
        </control>
      </mc:Choice>
      <mc:Fallback>
        <control shapeId="6147" r:id="rId6" name="Control 3"/>
      </mc:Fallback>
    </mc:AlternateContent>
    <mc:AlternateContent xmlns:mc="http://schemas.openxmlformats.org/markup-compatibility/2006">
      <mc:Choice Requires="x14">
        <control shapeId="6146" r:id="rId7" name="Control 2">
          <controlPr defaultSize="0" r:id="rId8">
            <anchor moveWithCells="1">
              <from>
                <xdr:col>6</xdr:col>
                <xdr:colOff>2179320</xdr:colOff>
                <xdr:row>2</xdr:row>
                <xdr:rowOff>167640</xdr:rowOff>
              </from>
              <to>
                <xdr:col>7</xdr:col>
                <xdr:colOff>213360</xdr:colOff>
                <xdr:row>4</xdr:row>
                <xdr:rowOff>45720</xdr:rowOff>
              </to>
            </anchor>
          </controlPr>
        </control>
      </mc:Choice>
      <mc:Fallback>
        <control shapeId="6146" r:id="rId7" name="Control 2"/>
      </mc:Fallback>
    </mc:AlternateContent>
    <mc:AlternateContent xmlns:mc="http://schemas.openxmlformats.org/markup-compatibility/2006">
      <mc:Choice Requires="x14">
        <control shapeId="6145" r:id="rId9" name="Control 1">
          <controlPr defaultSize="0" r:id="rId5">
            <anchor moveWithCells="1">
              <from>
                <xdr:col>6</xdr:col>
                <xdr:colOff>2179320</xdr:colOff>
                <xdr:row>2</xdr:row>
                <xdr:rowOff>167640</xdr:rowOff>
              </from>
              <to>
                <xdr:col>7</xdr:col>
                <xdr:colOff>213360</xdr:colOff>
                <xdr:row>4</xdr:row>
                <xdr:rowOff>45720</xdr:rowOff>
              </to>
            </anchor>
          </controlPr>
        </control>
      </mc:Choice>
      <mc:Fallback>
        <control shapeId="6145" r:id="rId9"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E2F6D-DB4C-4FF5-BBE0-FD47A7145EFE}">
  <sheetPr>
    <tabColor theme="4" tint="0.59999389629810485"/>
  </sheetPr>
  <dimension ref="A1:F43"/>
  <sheetViews>
    <sheetView workbookViewId="0">
      <selection activeCell="C12" sqref="C12"/>
    </sheetView>
    <sheetView workbookViewId="1"/>
  </sheetViews>
  <sheetFormatPr defaultRowHeight="14.4" x14ac:dyDescent="0.3"/>
  <cols>
    <col min="2" max="2" width="8.88671875" customWidth="1"/>
    <col min="5" max="5" width="16" bestFit="1" customWidth="1"/>
  </cols>
  <sheetData>
    <row r="1" spans="1:6" ht="15.6" x14ac:dyDescent="0.3">
      <c r="A1" s="114" t="s">
        <v>410</v>
      </c>
      <c r="E1" s="113" t="s">
        <v>165</v>
      </c>
    </row>
    <row r="2" spans="1:6" ht="15" thickBot="1" x14ac:dyDescent="0.35"/>
    <row r="3" spans="1:6" ht="15" thickBot="1" x14ac:dyDescent="0.35">
      <c r="A3" s="108" t="s">
        <v>163</v>
      </c>
      <c r="B3" s="108" t="s">
        <v>164</v>
      </c>
      <c r="E3" s="103" t="s">
        <v>169</v>
      </c>
      <c r="F3" s="115">
        <v>0.05</v>
      </c>
    </row>
    <row r="4" spans="1:6" ht="15" thickBot="1" x14ac:dyDescent="0.35">
      <c r="A4" s="109">
        <v>2018</v>
      </c>
      <c r="B4" s="110">
        <v>11062</v>
      </c>
      <c r="C4">
        <f>+$B$4/B4</f>
        <v>1</v>
      </c>
    </row>
    <row r="5" spans="1:6" ht="15" thickBot="1" x14ac:dyDescent="0.35">
      <c r="A5" s="111">
        <v>2017</v>
      </c>
      <c r="B5" s="112">
        <v>10737</v>
      </c>
      <c r="C5">
        <f t="shared" ref="C5:C43" si="0">+$B$4/B5</f>
        <v>1.0302691627083915</v>
      </c>
    </row>
    <row r="6" spans="1:6" ht="15" thickBot="1" x14ac:dyDescent="0.35">
      <c r="A6" s="109">
        <v>2016</v>
      </c>
      <c r="B6" s="110">
        <v>10338</v>
      </c>
      <c r="C6">
        <f t="shared" si="0"/>
        <v>1.0700328883729928</v>
      </c>
    </row>
    <row r="7" spans="1:6" ht="15" thickBot="1" x14ac:dyDescent="0.35">
      <c r="A7" s="111">
        <v>2015</v>
      </c>
      <c r="B7" s="112">
        <v>10035</v>
      </c>
      <c r="C7">
        <f t="shared" si="0"/>
        <v>1.1023418036870951</v>
      </c>
    </row>
    <row r="8" spans="1:6" ht="15" thickBot="1" x14ac:dyDescent="0.35">
      <c r="A8" s="109">
        <v>2014</v>
      </c>
      <c r="B8" s="110">
        <v>9806</v>
      </c>
      <c r="C8">
        <f t="shared" si="0"/>
        <v>1.1280848460126454</v>
      </c>
    </row>
    <row r="9" spans="1:6" ht="15" thickBot="1" x14ac:dyDescent="0.35">
      <c r="A9" s="111">
        <v>2013</v>
      </c>
      <c r="B9" s="112">
        <v>9547</v>
      </c>
      <c r="C9">
        <f t="shared" si="0"/>
        <v>1.1586885932753745</v>
      </c>
    </row>
    <row r="10" spans="1:6" ht="15" thickBot="1" x14ac:dyDescent="0.35">
      <c r="A10" s="109">
        <v>2012</v>
      </c>
      <c r="B10" s="110">
        <v>9308</v>
      </c>
      <c r="C10">
        <f t="shared" si="0"/>
        <v>1.1884400515685432</v>
      </c>
    </row>
    <row r="11" spans="1:6" ht="15" thickBot="1" x14ac:dyDescent="0.35">
      <c r="A11" s="111">
        <v>2011</v>
      </c>
      <c r="B11" s="112">
        <v>9070</v>
      </c>
      <c r="C11">
        <f t="shared" si="0"/>
        <v>1.2196251378169791</v>
      </c>
    </row>
    <row r="12" spans="1:6" ht="15" thickBot="1" x14ac:dyDescent="0.35">
      <c r="A12" s="109">
        <v>2010</v>
      </c>
      <c r="B12" s="110">
        <v>8799</v>
      </c>
      <c r="C12">
        <f t="shared" si="0"/>
        <v>1.257188316854188</v>
      </c>
    </row>
    <row r="13" spans="1:6" ht="15" thickBot="1" x14ac:dyDescent="0.35">
      <c r="A13" s="111">
        <v>2009</v>
      </c>
      <c r="B13" s="112">
        <v>8570</v>
      </c>
      <c r="C13">
        <f t="shared" si="0"/>
        <v>1.290781796966161</v>
      </c>
    </row>
    <row r="14" spans="1:6" ht="15" thickBot="1" x14ac:dyDescent="0.35">
      <c r="A14" s="109">
        <v>2008</v>
      </c>
      <c r="B14" s="110">
        <v>8310</v>
      </c>
      <c r="C14">
        <f t="shared" si="0"/>
        <v>1.3311672683513838</v>
      </c>
    </row>
    <row r="15" spans="1:6" ht="15" thickBot="1" x14ac:dyDescent="0.35">
      <c r="A15" s="111">
        <v>2007</v>
      </c>
      <c r="B15" s="112">
        <v>7966</v>
      </c>
      <c r="C15">
        <f t="shared" si="0"/>
        <v>1.388651770022596</v>
      </c>
    </row>
    <row r="16" spans="1:6" ht="15" thickBot="1" x14ac:dyDescent="0.35">
      <c r="A16" s="109">
        <v>2006</v>
      </c>
      <c r="B16" s="110">
        <v>7751</v>
      </c>
      <c r="C16">
        <f t="shared" si="0"/>
        <v>1.427170687653206</v>
      </c>
    </row>
    <row r="17" spans="1:3" ht="15" thickBot="1" x14ac:dyDescent="0.35">
      <c r="A17" s="111">
        <v>2005</v>
      </c>
      <c r="B17" s="112">
        <v>7446</v>
      </c>
      <c r="C17">
        <f t="shared" si="0"/>
        <v>1.4856298683857105</v>
      </c>
    </row>
    <row r="18" spans="1:3" ht="15" thickBot="1" x14ac:dyDescent="0.35">
      <c r="A18" s="109">
        <v>2004</v>
      </c>
      <c r="B18" s="110">
        <v>7115</v>
      </c>
      <c r="C18">
        <f t="shared" si="0"/>
        <v>1.5547434996486296</v>
      </c>
    </row>
    <row r="19" spans="1:3" ht="15" thickBot="1" x14ac:dyDescent="0.35">
      <c r="A19" s="111">
        <v>2003</v>
      </c>
      <c r="B19" s="112">
        <v>6694</v>
      </c>
      <c r="C19">
        <f t="shared" si="0"/>
        <v>1.6525246489393486</v>
      </c>
    </row>
    <row r="20" spans="1:3" ht="15" thickBot="1" x14ac:dyDescent="0.35">
      <c r="A20" s="109">
        <v>2002</v>
      </c>
      <c r="B20" s="110">
        <v>6538</v>
      </c>
      <c r="C20">
        <f t="shared" si="0"/>
        <v>1.6919547262159682</v>
      </c>
    </row>
    <row r="21" spans="1:3" ht="15" thickBot="1" x14ac:dyDescent="0.35">
      <c r="A21" s="111">
        <v>2001</v>
      </c>
      <c r="B21" s="112">
        <v>6343</v>
      </c>
      <c r="C21">
        <f t="shared" si="0"/>
        <v>1.7439697304114772</v>
      </c>
    </row>
    <row r="22" spans="1:3" ht="15" thickBot="1" x14ac:dyDescent="0.35">
      <c r="A22" s="109">
        <v>2000</v>
      </c>
      <c r="B22" s="110">
        <v>6221</v>
      </c>
      <c r="C22">
        <f t="shared" si="0"/>
        <v>1.7781707121041632</v>
      </c>
    </row>
    <row r="23" spans="1:3" ht="15" thickBot="1" x14ac:dyDescent="0.35">
      <c r="A23" s="109">
        <v>1999</v>
      </c>
      <c r="B23" s="110">
        <v>6059</v>
      </c>
      <c r="C23">
        <f t="shared" si="0"/>
        <v>1.8257138141607525</v>
      </c>
    </row>
    <row r="24" spans="1:3" ht="15" thickBot="1" x14ac:dyDescent="0.35">
      <c r="A24" s="111">
        <v>1998</v>
      </c>
      <c r="B24" s="110">
        <v>5920</v>
      </c>
      <c r="C24">
        <f t="shared" si="0"/>
        <v>1.868581081081081</v>
      </c>
    </row>
    <row r="25" spans="1:3" ht="15" thickBot="1" x14ac:dyDescent="0.35">
      <c r="A25" s="109">
        <v>1997</v>
      </c>
      <c r="B25" s="110">
        <v>5826</v>
      </c>
      <c r="C25">
        <f t="shared" si="0"/>
        <v>1.8987298317885342</v>
      </c>
    </row>
    <row r="26" spans="1:3" ht="15" thickBot="1" x14ac:dyDescent="0.35">
      <c r="A26" s="111">
        <v>1996</v>
      </c>
      <c r="B26" s="110">
        <v>5620</v>
      </c>
      <c r="C26">
        <f t="shared" si="0"/>
        <v>1.9683274021352313</v>
      </c>
    </row>
    <row r="27" spans="1:3" ht="15" thickBot="1" x14ac:dyDescent="0.35">
      <c r="A27" s="109">
        <v>1995</v>
      </c>
      <c r="B27" s="110">
        <v>5471</v>
      </c>
      <c r="C27">
        <f t="shared" si="0"/>
        <v>2.021933832937306</v>
      </c>
    </row>
    <row r="28" spans="1:3" ht="15" thickBot="1" x14ac:dyDescent="0.35">
      <c r="A28" s="111">
        <v>1994</v>
      </c>
      <c r="B28" s="110">
        <v>5408</v>
      </c>
      <c r="C28">
        <f t="shared" si="0"/>
        <v>2.0454881656804735</v>
      </c>
    </row>
    <row r="29" spans="1:3" ht="15" thickBot="1" x14ac:dyDescent="0.35">
      <c r="A29" s="109">
        <v>1993</v>
      </c>
      <c r="B29" s="110">
        <v>5210</v>
      </c>
      <c r="C29">
        <f t="shared" si="0"/>
        <v>2.1232245681381956</v>
      </c>
    </row>
    <row r="30" spans="1:3" ht="15" thickBot="1" x14ac:dyDescent="0.35">
      <c r="A30" s="111">
        <v>1992</v>
      </c>
      <c r="B30" s="110">
        <v>4985</v>
      </c>
      <c r="C30">
        <f t="shared" si="0"/>
        <v>2.2190571715145437</v>
      </c>
    </row>
    <row r="31" spans="1:3" ht="15" thickBot="1" x14ac:dyDescent="0.35">
      <c r="A31" s="109">
        <v>1991</v>
      </c>
      <c r="B31" s="110">
        <v>4835</v>
      </c>
      <c r="C31">
        <f t="shared" si="0"/>
        <v>2.2879007238883142</v>
      </c>
    </row>
    <row r="32" spans="1:3" ht="15" thickBot="1" x14ac:dyDescent="0.35">
      <c r="A32" s="111">
        <v>1990</v>
      </c>
      <c r="B32" s="110">
        <v>4732</v>
      </c>
      <c r="C32">
        <f t="shared" si="0"/>
        <v>2.3377007607776839</v>
      </c>
    </row>
    <row r="33" spans="1:6" ht="15" thickBot="1" x14ac:dyDescent="0.35">
      <c r="A33" s="109">
        <v>1989</v>
      </c>
      <c r="B33" s="110">
        <v>4615</v>
      </c>
      <c r="C33">
        <f t="shared" si="0"/>
        <v>2.3969664138678222</v>
      </c>
    </row>
    <row r="34" spans="1:6" ht="15" thickBot="1" x14ac:dyDescent="0.35">
      <c r="A34" s="111">
        <v>1988</v>
      </c>
      <c r="B34" s="110">
        <v>4519</v>
      </c>
      <c r="C34">
        <f t="shared" si="0"/>
        <v>2.4478867005974774</v>
      </c>
    </row>
    <row r="35" spans="1:6" ht="15" thickBot="1" x14ac:dyDescent="0.35">
      <c r="A35" s="109">
        <v>1987</v>
      </c>
      <c r="B35" s="110">
        <v>4406</v>
      </c>
      <c r="C35">
        <f t="shared" si="0"/>
        <v>2.5106672719019518</v>
      </c>
    </row>
    <row r="36" spans="1:6" ht="15" thickBot="1" x14ac:dyDescent="0.35">
      <c r="A36" s="111">
        <v>1986</v>
      </c>
      <c r="B36" s="110">
        <v>4295</v>
      </c>
      <c r="C36">
        <f t="shared" si="0"/>
        <v>2.5755529685681022</v>
      </c>
    </row>
    <row r="37" spans="1:6" ht="15" thickBot="1" x14ac:dyDescent="0.35">
      <c r="A37" s="109">
        <v>1985</v>
      </c>
      <c r="B37" s="110">
        <v>4195</v>
      </c>
      <c r="C37">
        <f t="shared" si="0"/>
        <v>2.6369487485101311</v>
      </c>
    </row>
    <row r="38" spans="1:6" ht="15" thickBot="1" x14ac:dyDescent="0.35">
      <c r="A38" s="111">
        <v>1984</v>
      </c>
      <c r="B38" s="110">
        <v>4146</v>
      </c>
      <c r="C38">
        <f t="shared" si="0"/>
        <v>2.6681138446695609</v>
      </c>
      <c r="F38" s="116"/>
    </row>
    <row r="39" spans="1:6" ht="15" thickBot="1" x14ac:dyDescent="0.35">
      <c r="A39" s="109">
        <v>1983</v>
      </c>
      <c r="B39" s="110">
        <v>4066</v>
      </c>
      <c r="C39">
        <f t="shared" si="0"/>
        <v>2.7206099360550908</v>
      </c>
    </row>
    <row r="40" spans="1:6" ht="15" thickBot="1" x14ac:dyDescent="0.35">
      <c r="A40" s="111">
        <v>1982</v>
      </c>
      <c r="B40" s="110">
        <v>3825</v>
      </c>
      <c r="C40">
        <f t="shared" si="0"/>
        <v>2.8920261437908499</v>
      </c>
      <c r="F40" s="117"/>
    </row>
    <row r="41" spans="1:6" ht="15" thickBot="1" x14ac:dyDescent="0.35">
      <c r="A41" s="109">
        <v>1981</v>
      </c>
      <c r="B41" s="110">
        <v>3535</v>
      </c>
      <c r="C41">
        <f t="shared" si="0"/>
        <v>3.1292786421499295</v>
      </c>
    </row>
    <row r="42" spans="1:6" ht="15" thickBot="1" x14ac:dyDescent="0.35">
      <c r="A42" s="109">
        <v>1980</v>
      </c>
      <c r="B42" s="110">
        <v>3237</v>
      </c>
      <c r="C42">
        <f t="shared" si="0"/>
        <v>3.4173617547111523</v>
      </c>
    </row>
    <row r="43" spans="1:6" ht="15" thickBot="1" x14ac:dyDescent="0.35">
      <c r="A43" s="111">
        <v>1979</v>
      </c>
      <c r="B43" s="110">
        <v>3003</v>
      </c>
      <c r="C43">
        <f t="shared" si="0"/>
        <v>3.6836496836496835</v>
      </c>
    </row>
  </sheetData>
  <hyperlinks>
    <hyperlink ref="E1" r:id="rId1" xr:uid="{2CC39C34-82BE-4BC2-AA32-378E291687D6}"/>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91E7-0192-4269-BF3A-05BB9DF4B52F}">
  <dimension ref="A1:A35"/>
  <sheetViews>
    <sheetView tabSelected="1" topLeftCell="A53" workbookViewId="0">
      <selection activeCell="I63" sqref="I63"/>
    </sheetView>
    <sheetView workbookViewId="1"/>
  </sheetViews>
  <sheetFormatPr defaultRowHeight="14.4" x14ac:dyDescent="0.3"/>
  <cols>
    <col min="1" max="1" width="54.88671875" customWidth="1"/>
  </cols>
  <sheetData>
    <row r="1" spans="1:1" s="241" customFormat="1" x14ac:dyDescent="0.3">
      <c r="A1" s="241" t="s">
        <v>84</v>
      </c>
    </row>
    <row r="2" spans="1:1" x14ac:dyDescent="0.3">
      <c r="A2" s="242" t="s">
        <v>367</v>
      </c>
    </row>
    <row r="3" spans="1:1" x14ac:dyDescent="0.3">
      <c r="A3" s="55" t="s">
        <v>430</v>
      </c>
    </row>
    <row r="4" spans="1:1" x14ac:dyDescent="0.3">
      <c r="A4" s="243" t="s">
        <v>121</v>
      </c>
    </row>
    <row r="5" spans="1:1" x14ac:dyDescent="0.3">
      <c r="A5" s="244" t="s">
        <v>378</v>
      </c>
    </row>
    <row r="6" spans="1:1" x14ac:dyDescent="0.3">
      <c r="A6" s="242" t="s">
        <v>361</v>
      </c>
    </row>
    <row r="7" spans="1:1" x14ac:dyDescent="0.3">
      <c r="A7" s="242" t="s">
        <v>370</v>
      </c>
    </row>
    <row r="8" spans="1:1" x14ac:dyDescent="0.3">
      <c r="A8" s="242" t="s">
        <v>375</v>
      </c>
    </row>
    <row r="9" spans="1:1" x14ac:dyDescent="0.3">
      <c r="A9" s="242" t="s">
        <v>366</v>
      </c>
    </row>
    <row r="10" spans="1:1" x14ac:dyDescent="0.3">
      <c r="A10" s="242" t="s">
        <v>355</v>
      </c>
    </row>
    <row r="11" spans="1:1" x14ac:dyDescent="0.3">
      <c r="A11" s="244" t="s">
        <v>379</v>
      </c>
    </row>
    <row r="12" spans="1:1" x14ac:dyDescent="0.3">
      <c r="A12" s="242" t="s">
        <v>359</v>
      </c>
    </row>
    <row r="13" spans="1:1" x14ac:dyDescent="0.3">
      <c r="A13" s="242" t="s">
        <v>357</v>
      </c>
    </row>
    <row r="14" spans="1:1" x14ac:dyDescent="0.3">
      <c r="A14" s="55" t="s">
        <v>431</v>
      </c>
    </row>
    <row r="15" spans="1:1" x14ac:dyDescent="0.3">
      <c r="A15" s="244" t="s">
        <v>380</v>
      </c>
    </row>
    <row r="16" spans="1:1" x14ac:dyDescent="0.3">
      <c r="A16" s="242" t="s">
        <v>360</v>
      </c>
    </row>
    <row r="17" spans="1:1" x14ac:dyDescent="0.3">
      <c r="A17" s="242" t="s">
        <v>376</v>
      </c>
    </row>
    <row r="18" spans="1:1" x14ac:dyDescent="0.3">
      <c r="A18" s="242" t="s">
        <v>362</v>
      </c>
    </row>
    <row r="19" spans="1:1" x14ac:dyDescent="0.3">
      <c r="A19" s="242" t="s">
        <v>373</v>
      </c>
    </row>
    <row r="20" spans="1:1" x14ac:dyDescent="0.3">
      <c r="A20" s="245" t="s">
        <v>363</v>
      </c>
    </row>
    <row r="21" spans="1:1" x14ac:dyDescent="0.3">
      <c r="A21" s="242" t="s">
        <v>404</v>
      </c>
    </row>
    <row r="22" spans="1:1" x14ac:dyDescent="0.3">
      <c r="A22" s="242" t="s">
        <v>433</v>
      </c>
    </row>
    <row r="23" spans="1:1" x14ac:dyDescent="0.3">
      <c r="A23" s="242" t="s">
        <v>374</v>
      </c>
    </row>
    <row r="24" spans="1:1" x14ac:dyDescent="0.3">
      <c r="A24" s="55" t="s">
        <v>432</v>
      </c>
    </row>
    <row r="25" spans="1:1" x14ac:dyDescent="0.3">
      <c r="A25" s="242" t="s">
        <v>365</v>
      </c>
    </row>
    <row r="26" spans="1:1" x14ac:dyDescent="0.3">
      <c r="A26" s="242" t="s">
        <v>369</v>
      </c>
    </row>
    <row r="27" spans="1:1" x14ac:dyDescent="0.3">
      <c r="A27" s="243" t="s">
        <v>122</v>
      </c>
    </row>
    <row r="28" spans="1:1" x14ac:dyDescent="0.3">
      <c r="A28" s="242" t="s">
        <v>356</v>
      </c>
    </row>
    <row r="29" spans="1:1" x14ac:dyDescent="0.3">
      <c r="A29" s="242" t="s">
        <v>371</v>
      </c>
    </row>
    <row r="30" spans="1:1" x14ac:dyDescent="0.3">
      <c r="A30" s="242" t="s">
        <v>368</v>
      </c>
    </row>
    <row r="31" spans="1:1" x14ac:dyDescent="0.3">
      <c r="A31" s="242" t="s">
        <v>358</v>
      </c>
    </row>
    <row r="32" spans="1:1" x14ac:dyDescent="0.3">
      <c r="A32" s="244" t="s">
        <v>377</v>
      </c>
    </row>
    <row r="33" spans="1:1" x14ac:dyDescent="0.3">
      <c r="A33" s="242" t="s">
        <v>372</v>
      </c>
    </row>
    <row r="34" spans="1:1" x14ac:dyDescent="0.3">
      <c r="A34" s="242" t="s">
        <v>364</v>
      </c>
    </row>
    <row r="35" spans="1:1" x14ac:dyDescent="0.3">
      <c r="A35" s="244" t="s">
        <v>381</v>
      </c>
    </row>
  </sheetData>
  <autoFilter ref="A1:A32" xr:uid="{12EA4DF8-BEFB-4E14-B8E6-6B0AF4015909}">
    <sortState xmlns:xlrd2="http://schemas.microsoft.com/office/spreadsheetml/2017/richdata2" ref="A2:A35">
      <sortCondition ref="A1:A32"/>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5DBA-A86A-46C4-8023-1FE757760B11}">
  <dimension ref="A1:E12"/>
  <sheetViews>
    <sheetView workbookViewId="0">
      <selection activeCell="J27" sqref="J27"/>
    </sheetView>
    <sheetView workbookViewId="1"/>
  </sheetViews>
  <sheetFormatPr defaultRowHeight="14.4" x14ac:dyDescent="0.3"/>
  <cols>
    <col min="1" max="1" width="23" customWidth="1"/>
    <col min="2" max="2" width="8.33203125" customWidth="1"/>
    <col min="3" max="3" width="11.5546875" customWidth="1"/>
  </cols>
  <sheetData>
    <row r="1" spans="1:5" x14ac:dyDescent="0.3">
      <c r="A1" t="s">
        <v>147</v>
      </c>
    </row>
    <row r="2" spans="1:5" ht="39.75" customHeight="1" x14ac:dyDescent="0.3">
      <c r="C2" s="95" t="s">
        <v>148</v>
      </c>
      <c r="D2" s="95" t="s">
        <v>149</v>
      </c>
      <c r="E2" s="95" t="s">
        <v>150</v>
      </c>
    </row>
    <row r="3" spans="1:5" x14ac:dyDescent="0.3">
      <c r="A3" s="96" t="s">
        <v>151</v>
      </c>
      <c r="B3" s="96" t="s">
        <v>6</v>
      </c>
      <c r="C3" s="97">
        <v>90.484389315733281</v>
      </c>
      <c r="D3" s="98">
        <f>+D9</f>
        <v>24.724660638711718</v>
      </c>
      <c r="E3" s="97">
        <f>+C3-D3</f>
        <v>65.75972867702157</v>
      </c>
    </row>
    <row r="4" spans="1:5" x14ac:dyDescent="0.3">
      <c r="A4" s="96" t="s">
        <v>152</v>
      </c>
      <c r="B4" s="96" t="s">
        <v>7</v>
      </c>
      <c r="C4" s="97">
        <v>103.83051676132203</v>
      </c>
      <c r="D4" s="97">
        <v>38.037249522853159</v>
      </c>
      <c r="E4" s="97">
        <f>+C4-D4</f>
        <v>65.793267238468871</v>
      </c>
    </row>
    <row r="5" spans="1:5" x14ac:dyDescent="0.3">
      <c r="A5" s="96" t="s">
        <v>153</v>
      </c>
      <c r="B5" s="96" t="s">
        <v>2</v>
      </c>
      <c r="C5" s="97">
        <v>54.838174216269373</v>
      </c>
      <c r="D5" s="97">
        <v>23.636266070719767</v>
      </c>
      <c r="E5" s="97">
        <f t="shared" ref="E5:E8" si="0">+C5-D5</f>
        <v>31.201908145549606</v>
      </c>
    </row>
    <row r="6" spans="1:5" x14ac:dyDescent="0.3">
      <c r="A6" s="96" t="s">
        <v>154</v>
      </c>
      <c r="B6" s="96" t="s">
        <v>4</v>
      </c>
      <c r="C6" s="97">
        <v>88.511568424935035</v>
      </c>
      <c r="D6" s="97">
        <v>48.565445321087118</v>
      </c>
      <c r="E6" s="97">
        <f>+C6-D6</f>
        <v>39.946123103847917</v>
      </c>
    </row>
    <row r="7" spans="1:5" x14ac:dyDescent="0.3">
      <c r="A7" s="96" t="s">
        <v>155</v>
      </c>
      <c r="B7" s="96" t="s">
        <v>3</v>
      </c>
      <c r="C7" s="97">
        <v>56.800976342530369</v>
      </c>
      <c r="D7" s="97">
        <v>18.693933368424684</v>
      </c>
      <c r="E7" s="97">
        <f t="shared" si="0"/>
        <v>38.107042974105681</v>
      </c>
    </row>
    <row r="8" spans="1:5" x14ac:dyDescent="0.3">
      <c r="A8" s="96" t="s">
        <v>156</v>
      </c>
      <c r="B8" s="96" t="s">
        <v>5</v>
      </c>
      <c r="C8" s="97">
        <v>39.441978084867387</v>
      </c>
      <c r="D8" s="97">
        <v>13.416773515936709</v>
      </c>
      <c r="E8" s="97">
        <f t="shared" si="0"/>
        <v>26.025204568930675</v>
      </c>
    </row>
    <row r="9" spans="1:5" x14ac:dyDescent="0.3">
      <c r="A9" s="99" t="s">
        <v>157</v>
      </c>
      <c r="B9" s="99" t="s">
        <v>1</v>
      </c>
      <c r="C9" s="100">
        <v>78.250741053928792</v>
      </c>
      <c r="D9" s="100">
        <v>24.724660638711718</v>
      </c>
      <c r="E9" s="100">
        <f>+C9-D9</f>
        <v>53.526080415217073</v>
      </c>
    </row>
    <row r="11" spans="1:5" x14ac:dyDescent="0.3">
      <c r="A11" s="101" t="s">
        <v>81</v>
      </c>
      <c r="B11" s="101"/>
    </row>
    <row r="12" spans="1:5" x14ac:dyDescent="0.3">
      <c r="A12" s="102" t="s">
        <v>158</v>
      </c>
      <c r="B12" s="10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F8E1-138C-4641-84A6-5BB4925EDA22}">
  <dimension ref="A1:H29"/>
  <sheetViews>
    <sheetView topLeftCell="A2" zoomScale="85" zoomScaleNormal="85" workbookViewId="0">
      <selection activeCell="I22" sqref="I22"/>
    </sheetView>
    <sheetView topLeftCell="A2" workbookViewId="1"/>
  </sheetViews>
  <sheetFormatPr defaultColWidth="9.109375" defaultRowHeight="14.4" x14ac:dyDescent="0.3"/>
  <cols>
    <col min="1" max="1" width="47" style="55" customWidth="1"/>
    <col min="2" max="2" width="30" style="55" bestFit="1" customWidth="1"/>
    <col min="3" max="3" width="31.88671875" style="55" customWidth="1"/>
    <col min="4" max="4" width="36.33203125" style="55" customWidth="1"/>
    <col min="5" max="5" width="15.5546875" style="55" customWidth="1"/>
    <col min="6" max="6" width="11.33203125" style="55" bestFit="1" customWidth="1"/>
    <col min="7" max="16384" width="9.109375" style="55"/>
  </cols>
  <sheetData>
    <row r="1" spans="1:6" hidden="1" x14ac:dyDescent="0.3">
      <c r="A1" s="55">
        <v>1</v>
      </c>
      <c r="B1" s="55">
        <v>2</v>
      </c>
      <c r="C1" s="55">
        <v>3</v>
      </c>
      <c r="D1" s="55">
        <v>4</v>
      </c>
    </row>
    <row r="2" spans="1:6" ht="37.5" customHeight="1" thickBot="1" x14ac:dyDescent="0.35">
      <c r="A2" s="365" t="s">
        <v>105</v>
      </c>
      <c r="B2" s="366"/>
      <c r="C2" s="366"/>
      <c r="D2" s="366"/>
    </row>
    <row r="3" spans="1:6" ht="15" thickBot="1" x14ac:dyDescent="0.35">
      <c r="A3" s="367" t="s">
        <v>166</v>
      </c>
      <c r="B3" s="368"/>
      <c r="C3" s="368"/>
      <c r="D3" s="369"/>
    </row>
    <row r="4" spans="1:6" ht="15" thickBot="1" x14ac:dyDescent="0.35">
      <c r="A4" s="56"/>
      <c r="C4" s="57"/>
      <c r="D4" s="58"/>
    </row>
    <row r="5" spans="1:6" ht="15" thickTop="1" x14ac:dyDescent="0.3">
      <c r="A5" s="59" t="s">
        <v>63</v>
      </c>
      <c r="B5" s="60"/>
      <c r="C5" s="60"/>
      <c r="D5" s="60"/>
    </row>
    <row r="6" spans="1:6" x14ac:dyDescent="0.3">
      <c r="A6" s="61"/>
      <c r="B6" s="62" t="s">
        <v>48</v>
      </c>
      <c r="C6" s="62" t="s">
        <v>107</v>
      </c>
      <c r="D6" s="62" t="s">
        <v>47</v>
      </c>
    </row>
    <row r="7" spans="1:6" x14ac:dyDescent="0.3">
      <c r="A7" s="63" t="s">
        <v>108</v>
      </c>
      <c r="B7" s="64">
        <v>37.113141250878428</v>
      </c>
      <c r="C7" s="64">
        <v>68.040758959943773</v>
      </c>
      <c r="D7" s="64">
        <v>98.968376669009132</v>
      </c>
    </row>
    <row r="8" spans="1:6" x14ac:dyDescent="0.3">
      <c r="A8" s="63" t="s">
        <v>109</v>
      </c>
      <c r="B8" s="64">
        <v>185.56570625439213</v>
      </c>
      <c r="C8" s="64">
        <v>340.20379479971888</v>
      </c>
      <c r="D8" s="65">
        <v>494.84188334504563</v>
      </c>
    </row>
    <row r="9" spans="1:6" x14ac:dyDescent="0.3">
      <c r="A9" s="66" t="s">
        <v>110</v>
      </c>
      <c r="B9" s="64">
        <f>B8*0.15</f>
        <v>27.834855938158817</v>
      </c>
      <c r="C9" s="64">
        <f>C8*0.15</f>
        <v>51.030569219957833</v>
      </c>
      <c r="D9" s="64">
        <f>D8*0.15</f>
        <v>74.226282501756842</v>
      </c>
    </row>
    <row r="10" spans="1:6" x14ac:dyDescent="0.3">
      <c r="A10" s="63" t="s">
        <v>111</v>
      </c>
      <c r="B10" s="64">
        <f>SUM(B9:B9)</f>
        <v>27.834855938158817</v>
      </c>
      <c r="C10" s="64">
        <f>SUM(C9:C9)</f>
        <v>51.030569219957833</v>
      </c>
      <c r="D10" s="64">
        <f>SUM(D9:D9)</f>
        <v>74.226282501756842</v>
      </c>
    </row>
    <row r="11" spans="1:6" x14ac:dyDescent="0.3">
      <c r="A11" s="67"/>
      <c r="B11" s="68"/>
      <c r="D11" s="69"/>
    </row>
    <row r="12" spans="1:6" x14ac:dyDescent="0.3">
      <c r="A12" s="370"/>
      <c r="B12" s="371"/>
      <c r="D12" s="69"/>
    </row>
    <row r="13" spans="1:6" x14ac:dyDescent="0.3">
      <c r="A13" s="63" t="s">
        <v>112</v>
      </c>
      <c r="B13" s="70">
        <v>5</v>
      </c>
      <c r="C13" s="55" t="s">
        <v>113</v>
      </c>
      <c r="D13" s="69"/>
    </row>
    <row r="14" spans="1:6" ht="15" thickBot="1" x14ac:dyDescent="0.35">
      <c r="A14" s="71"/>
      <c r="B14" s="69"/>
      <c r="D14" s="69"/>
    </row>
    <row r="15" spans="1:6" x14ac:dyDescent="0.3">
      <c r="A15" s="72"/>
      <c r="B15" s="73" t="s">
        <v>48</v>
      </c>
      <c r="C15" s="73" t="s">
        <v>107</v>
      </c>
      <c r="D15" s="74" t="s">
        <v>47</v>
      </c>
      <c r="E15" s="360" t="s">
        <v>339</v>
      </c>
      <c r="F15" s="75"/>
    </row>
    <row r="16" spans="1:6" x14ac:dyDescent="0.3">
      <c r="A16" s="63" t="s">
        <v>114</v>
      </c>
      <c r="B16" s="76">
        <f>((-PMT(Annual_rate1,B$13,(B$7+B$8))+B$10))</f>
        <v>79.268057788124082</v>
      </c>
      <c r="C16" s="76">
        <f>((-PMT(Annual_rate1,B$13,(C$7+C$8))+C$10))</f>
        <v>145.32477261156083</v>
      </c>
      <c r="D16" s="77">
        <f>((-PMT(Annual_rate1,B$13,(D$7+D$8))+D$10))</f>
        <v>211.38148743499755</v>
      </c>
      <c r="E16" s="361"/>
    </row>
    <row r="17" spans="1:8" x14ac:dyDescent="0.3">
      <c r="A17" s="78" t="s">
        <v>115</v>
      </c>
      <c r="B17" s="76">
        <f>(B$7+B$8)</f>
        <v>222.67884750527054</v>
      </c>
      <c r="C17" s="79">
        <f>(C$7+C$8)</f>
        <v>408.24455375966267</v>
      </c>
      <c r="D17" s="77">
        <f>(D$7+D$8)</f>
        <v>593.81026001405473</v>
      </c>
      <c r="E17" s="263">
        <f>C17*CCI_2010</f>
        <v>513.24028340599932</v>
      </c>
      <c r="F17" s="75"/>
    </row>
    <row r="18" spans="1:8" ht="15" thickBot="1" x14ac:dyDescent="0.35">
      <c r="A18" s="78" t="s">
        <v>116</v>
      </c>
      <c r="B18" s="76">
        <f>B10</f>
        <v>27.834855938158817</v>
      </c>
      <c r="C18" s="79">
        <f>C10</f>
        <v>51.030569219957833</v>
      </c>
      <c r="D18" s="77">
        <f>D10</f>
        <v>74.226282501756842</v>
      </c>
      <c r="E18" s="262">
        <f>C18*CCI_2010</f>
        <v>64.155035425749915</v>
      </c>
    </row>
    <row r="19" spans="1:8" x14ac:dyDescent="0.3">
      <c r="A19" s="80"/>
      <c r="B19" s="80"/>
      <c r="C19" s="80"/>
      <c r="D19" s="81"/>
    </row>
    <row r="20" spans="1:8" x14ac:dyDescent="0.3">
      <c r="A20" s="36" t="s">
        <v>338</v>
      </c>
      <c r="B20" s="80"/>
      <c r="C20" s="80"/>
      <c r="D20" s="81"/>
    </row>
    <row r="21" spans="1:8" ht="35.25" customHeight="1" x14ac:dyDescent="0.3">
      <c r="A21" s="372" t="s">
        <v>117</v>
      </c>
      <c r="B21" s="373"/>
      <c r="C21" s="373"/>
      <c r="D21" s="374"/>
      <c r="E21"/>
      <c r="H21"/>
    </row>
    <row r="22" spans="1:8" ht="33.75" customHeight="1" x14ac:dyDescent="0.3">
      <c r="A22" s="375" t="s">
        <v>118</v>
      </c>
      <c r="B22" s="376"/>
      <c r="C22" s="376"/>
      <c r="D22" s="377"/>
      <c r="F22" s="82"/>
      <c r="G22" s="82"/>
    </row>
    <row r="23" spans="1:8" ht="33.75" customHeight="1" x14ac:dyDescent="0.3">
      <c r="A23" s="375" t="s">
        <v>119</v>
      </c>
      <c r="B23" s="376"/>
      <c r="C23" s="376"/>
      <c r="D23" s="377"/>
      <c r="F23" s="82"/>
      <c r="G23" s="82"/>
    </row>
    <row r="24" spans="1:8" ht="33.75" customHeight="1" x14ac:dyDescent="0.3">
      <c r="A24" s="375" t="s">
        <v>167</v>
      </c>
      <c r="B24" s="376"/>
      <c r="C24" s="376"/>
      <c r="D24" s="377"/>
      <c r="F24" s="82"/>
      <c r="G24" s="82"/>
    </row>
    <row r="25" spans="1:8" s="82" customFormat="1" ht="15" thickBot="1" x14ac:dyDescent="0.35">
      <c r="A25" s="362"/>
      <c r="B25" s="363"/>
      <c r="C25" s="363"/>
      <c r="D25" s="364"/>
      <c r="F25" s="55"/>
      <c r="G25" s="55"/>
    </row>
    <row r="26" spans="1:8" x14ac:dyDescent="0.3">
      <c r="A26" s="83" t="s">
        <v>120</v>
      </c>
    </row>
    <row r="27" spans="1:8" x14ac:dyDescent="0.3">
      <c r="A27" s="55" t="s">
        <v>121</v>
      </c>
    </row>
    <row r="28" spans="1:8" x14ac:dyDescent="0.3">
      <c r="A28" s="55" t="s">
        <v>122</v>
      </c>
    </row>
    <row r="29" spans="1:8" x14ac:dyDescent="0.3">
      <c r="A29" s="55" t="s">
        <v>123</v>
      </c>
    </row>
  </sheetData>
  <mergeCells count="9">
    <mergeCell ref="E15:E16"/>
    <mergeCell ref="A25:D25"/>
    <mergeCell ref="A2:D2"/>
    <mergeCell ref="A3:D3"/>
    <mergeCell ref="A12:B12"/>
    <mergeCell ref="A21:D21"/>
    <mergeCell ref="A22:D22"/>
    <mergeCell ref="A23:D23"/>
    <mergeCell ref="A24:D24"/>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FEC5A-4223-44B3-B098-F039FE2AC43F}">
  <dimension ref="A1:G26"/>
  <sheetViews>
    <sheetView workbookViewId="0">
      <selection activeCell="J16" sqref="J16"/>
    </sheetView>
    <sheetView workbookViewId="1"/>
  </sheetViews>
  <sheetFormatPr defaultColWidth="9.109375" defaultRowHeight="11.4" x14ac:dyDescent="0.2"/>
  <cols>
    <col min="1" max="1" width="30" style="40" customWidth="1"/>
    <col min="2" max="2" width="22.5546875" style="40" customWidth="1"/>
    <col min="3" max="3" width="14" style="40" bestFit="1" customWidth="1"/>
    <col min="4" max="4" width="13.109375" style="40" customWidth="1"/>
    <col min="5" max="5" width="12.33203125" style="40" customWidth="1"/>
    <col min="6" max="6" width="14.88671875" style="40" customWidth="1"/>
    <col min="7" max="7" width="11.88671875" style="40" customWidth="1"/>
    <col min="8" max="16384" width="9.109375" style="40"/>
  </cols>
  <sheetData>
    <row r="1" spans="1:7" s="37" customFormat="1" x14ac:dyDescent="0.2">
      <c r="A1" s="37" t="s">
        <v>168</v>
      </c>
    </row>
    <row r="3" spans="1:7" ht="12.6" thickBot="1" x14ac:dyDescent="0.3">
      <c r="A3" s="38" t="s">
        <v>63</v>
      </c>
      <c r="B3" s="87" t="s">
        <v>127</v>
      </c>
      <c r="C3" s="88" t="s">
        <v>128</v>
      </c>
      <c r="D3" s="88" t="s">
        <v>94</v>
      </c>
      <c r="E3" s="88" t="s">
        <v>129</v>
      </c>
      <c r="F3" s="88" t="s">
        <v>130</v>
      </c>
      <c r="G3" s="89" t="s">
        <v>49</v>
      </c>
    </row>
    <row r="4" spans="1:7" ht="12.6" thickBot="1" x14ac:dyDescent="0.3">
      <c r="A4" s="266" t="s">
        <v>340</v>
      </c>
      <c r="B4" s="267">
        <f>'NASS price index'!$D$20*1147.3</f>
        <v>1136.3827854671281</v>
      </c>
      <c r="C4" s="267">
        <f>'NASS price index'!$D$20*3000</f>
        <v>2971.4532871972319</v>
      </c>
      <c r="D4" s="268">
        <f>'NASS price index'!$D$20*3426.13</f>
        <v>3393.5284169550173</v>
      </c>
      <c r="E4" s="267">
        <f>'NASS price index'!$D$20*3475.6</f>
        <v>3442.5276816608998</v>
      </c>
      <c r="F4" s="267">
        <f>'NASS price index'!$D$20*3277.86</f>
        <v>3246.6692906574394</v>
      </c>
      <c r="G4" s="269">
        <f>AVERAGE(B4:F4)</f>
        <v>2838.1122923875437</v>
      </c>
    </row>
    <row r="5" spans="1:7" x14ac:dyDescent="0.2">
      <c r="A5" s="40" t="s">
        <v>131</v>
      </c>
      <c r="B5" s="90">
        <v>15</v>
      </c>
      <c r="C5" s="90">
        <v>15</v>
      </c>
      <c r="D5" s="90">
        <v>15</v>
      </c>
      <c r="E5" s="90">
        <v>15</v>
      </c>
      <c r="F5" s="90">
        <v>15</v>
      </c>
      <c r="G5" s="91">
        <f>AVERAGE(B5:F5)</f>
        <v>15</v>
      </c>
    </row>
    <row r="6" spans="1:7" ht="12" thickBot="1" x14ac:dyDescent="0.25">
      <c r="A6" s="40" t="s">
        <v>132</v>
      </c>
      <c r="B6" s="41">
        <v>37</v>
      </c>
      <c r="C6" s="41">
        <v>37</v>
      </c>
      <c r="D6" s="41">
        <v>37</v>
      </c>
      <c r="E6" s="41">
        <v>37</v>
      </c>
      <c r="F6" s="41">
        <v>37</v>
      </c>
      <c r="G6" s="41">
        <f>AVERAGE(B6:F6)</f>
        <v>37</v>
      </c>
    </row>
    <row r="7" spans="1:7" ht="12" x14ac:dyDescent="0.25">
      <c r="A7" s="264" t="s">
        <v>341</v>
      </c>
      <c r="B7" s="231">
        <f>B6*'NASS price index'!$D$9</f>
        <v>52.109471094710948</v>
      </c>
      <c r="C7" s="231">
        <f>C6*'NASS price index'!$D$9</f>
        <v>52.109471094710948</v>
      </c>
      <c r="D7" s="231">
        <f>D6*'NASS price index'!$D$9</f>
        <v>52.109471094710948</v>
      </c>
      <c r="E7" s="231">
        <f>E6*'NASS price index'!$D$9</f>
        <v>52.109471094710948</v>
      </c>
      <c r="F7" s="231">
        <f>F6*'NASS price index'!$D$9</f>
        <v>52.109471094710948</v>
      </c>
      <c r="G7" s="232">
        <f t="shared" ref="G7" si="0">AVERAGE(B7:F7)</f>
        <v>52.109471094710941</v>
      </c>
    </row>
    <row r="8" spans="1:7" ht="12.6" thickBot="1" x14ac:dyDescent="0.3">
      <c r="A8" s="265" t="s">
        <v>409</v>
      </c>
      <c r="B8" s="235">
        <v>1136.0195268506072</v>
      </c>
      <c r="C8" s="235">
        <v>2076.6103352264404</v>
      </c>
      <c r="D8" s="235">
        <v>1096.7634843253875</v>
      </c>
      <c r="E8" s="235">
        <v>1809.6877863146656</v>
      </c>
      <c r="F8" s="235">
        <v>1770.2313684987007</v>
      </c>
      <c r="G8" s="236">
        <v>1565.0148210785758</v>
      </c>
    </row>
    <row r="9" spans="1:7" x14ac:dyDescent="0.2">
      <c r="A9" s="40" t="s">
        <v>134</v>
      </c>
      <c r="B9" s="92">
        <f>-PMT(Annual_rate1,B5,B4)</f>
        <v>109.48171715166831</v>
      </c>
      <c r="C9" s="92">
        <f>-PMT(Annual_rate1,C5,C4)</f>
        <v>286.27660721259031</v>
      </c>
      <c r="D9" s="92">
        <f>-PMT(Annual_rate1,D5,D4)</f>
        <v>326.94029075642402</v>
      </c>
      <c r="E9" s="92">
        <f>-PMT(Annual_rate1,E5,E4)</f>
        <v>331.66099200935969</v>
      </c>
      <c r="F9" s="92">
        <f>-PMT(Annual_rate1,F5,F4)</f>
        <v>312.79154657262046</v>
      </c>
      <c r="G9" s="92">
        <f>AVERAGE(B9:F9)</f>
        <v>273.43023074053258</v>
      </c>
    </row>
    <row r="10" spans="1:7" ht="12" x14ac:dyDescent="0.25">
      <c r="A10" s="54" t="s">
        <v>342</v>
      </c>
      <c r="B10" s="93">
        <f>B9+B8+B7</f>
        <v>1297.6107150969865</v>
      </c>
      <c r="C10" s="93">
        <f>C9+C8+C7</f>
        <v>2414.9964135337414</v>
      </c>
      <c r="D10" s="93">
        <f>D9+D8+D7</f>
        <v>1475.8132461765224</v>
      </c>
      <c r="E10" s="93">
        <f>E9+E8+E7</f>
        <v>2193.4582494187362</v>
      </c>
      <c r="F10" s="93">
        <f>F9+F8+F7</f>
        <v>2135.1323861660321</v>
      </c>
      <c r="G10" s="93">
        <f>AVERAGE(B10:F10)</f>
        <v>1903.4022020784039</v>
      </c>
    </row>
    <row r="11" spans="1:7" x14ac:dyDescent="0.2">
      <c r="A11" s="94"/>
    </row>
    <row r="12" spans="1:7" x14ac:dyDescent="0.2">
      <c r="A12" s="94"/>
    </row>
    <row r="13" spans="1:7" x14ac:dyDescent="0.2">
      <c r="A13" s="94"/>
    </row>
    <row r="14" spans="1:7" x14ac:dyDescent="0.2">
      <c r="A14" s="40" t="s">
        <v>135</v>
      </c>
    </row>
    <row r="15" spans="1:7" x14ac:dyDescent="0.2">
      <c r="A15" s="40" t="s">
        <v>136</v>
      </c>
    </row>
    <row r="16" spans="1:7" x14ac:dyDescent="0.2">
      <c r="A16" s="40" t="s">
        <v>137</v>
      </c>
    </row>
    <row r="17" spans="1:1" x14ac:dyDescent="0.2">
      <c r="A17" s="40" t="s">
        <v>138</v>
      </c>
    </row>
    <row r="18" spans="1:1" x14ac:dyDescent="0.2">
      <c r="A18" s="40" t="s">
        <v>139</v>
      </c>
    </row>
    <row r="19" spans="1:1" x14ac:dyDescent="0.2">
      <c r="A19" s="40" t="s">
        <v>140</v>
      </c>
    </row>
    <row r="20" spans="1:1" x14ac:dyDescent="0.2">
      <c r="A20" s="40" t="s">
        <v>141</v>
      </c>
    </row>
    <row r="22" spans="1:1" ht="12" x14ac:dyDescent="0.25">
      <c r="A22" s="54" t="s">
        <v>142</v>
      </c>
    </row>
    <row r="23" spans="1:1" x14ac:dyDescent="0.2">
      <c r="A23" s="40" t="s">
        <v>143</v>
      </c>
    </row>
    <row r="24" spans="1:1" x14ac:dyDescent="0.2">
      <c r="A24" s="40" t="s">
        <v>144</v>
      </c>
    </row>
    <row r="25" spans="1:1" x14ac:dyDescent="0.2">
      <c r="A25" s="40" t="s">
        <v>145</v>
      </c>
    </row>
    <row r="26" spans="1:1" x14ac:dyDescent="0.2">
      <c r="A26" s="40" t="s">
        <v>146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3B7D5-B472-49C6-B7E7-55585AAD8132}">
  <dimension ref="A1:M25"/>
  <sheetViews>
    <sheetView topLeftCell="A7" workbookViewId="0">
      <selection activeCell="J24" sqref="J24"/>
    </sheetView>
    <sheetView workbookViewId="1"/>
  </sheetViews>
  <sheetFormatPr defaultColWidth="9.109375" defaultRowHeight="11.4" x14ac:dyDescent="0.2"/>
  <cols>
    <col min="1" max="1" width="44.6640625" style="40" customWidth="1"/>
    <col min="2" max="2" width="14.33203125" style="40" customWidth="1"/>
    <col min="3" max="3" width="13.6640625" style="40" customWidth="1"/>
    <col min="4" max="4" width="13.5546875" style="40" customWidth="1"/>
    <col min="5" max="5" width="15.6640625" style="40" customWidth="1"/>
    <col min="6" max="6" width="10.88671875" style="40" bestFit="1" customWidth="1"/>
    <col min="7" max="7" width="9.44140625" style="40" bestFit="1" customWidth="1"/>
    <col min="8" max="9" width="9.109375" style="40"/>
    <col min="10" max="10" width="9.109375" style="40" customWidth="1"/>
    <col min="11" max="16384" width="9.109375" style="40"/>
  </cols>
  <sheetData>
    <row r="1" spans="1:13" s="37" customFormat="1" x14ac:dyDescent="0.2">
      <c r="A1" s="37" t="s">
        <v>91</v>
      </c>
    </row>
    <row r="3" spans="1:13" ht="12" x14ac:dyDescent="0.25">
      <c r="A3" s="38" t="s">
        <v>63</v>
      </c>
      <c r="B3" s="38" t="s">
        <v>64</v>
      </c>
      <c r="C3" s="38" t="s">
        <v>92</v>
      </c>
      <c r="D3" s="38" t="s">
        <v>93</v>
      </c>
      <c r="E3" s="38" t="s">
        <v>94</v>
      </c>
      <c r="F3" s="238" t="s">
        <v>49</v>
      </c>
    </row>
    <row r="4" spans="1:13" x14ac:dyDescent="0.2">
      <c r="A4" s="40" t="s">
        <v>95</v>
      </c>
      <c r="B4" s="41">
        <f>132.61/(0.46/1667)</f>
        <v>480567.10869565222</v>
      </c>
      <c r="C4" s="41">
        <f>141.54/(0.48/1667)</f>
        <v>491556.625</v>
      </c>
      <c r="D4" s="41">
        <f>(83.43/0.75)/(0.46/1667)</f>
        <v>403124.08695652173</v>
      </c>
      <c r="E4" s="41">
        <f>132.72/(0.46/1667)</f>
        <v>480965.73913043475</v>
      </c>
      <c r="F4" s="42"/>
      <c r="G4" s="42"/>
      <c r="H4" s="42"/>
      <c r="I4" s="42"/>
      <c r="J4" s="42"/>
    </row>
    <row r="5" spans="1:13" x14ac:dyDescent="0.2">
      <c r="A5" s="40" t="s">
        <v>96</v>
      </c>
      <c r="B5" s="41">
        <f>B4*(0.46/1000)</f>
        <v>221.06087000000002</v>
      </c>
      <c r="C5" s="41">
        <f t="shared" ref="C5:E5" si="0">C4*(0.46/1000)</f>
        <v>226.11604750000001</v>
      </c>
      <c r="D5" s="41">
        <f t="shared" si="0"/>
        <v>185.43708000000001</v>
      </c>
      <c r="E5" s="41">
        <f t="shared" si="0"/>
        <v>221.24423999999999</v>
      </c>
      <c r="F5" s="42"/>
      <c r="G5" s="42"/>
      <c r="H5" s="42"/>
      <c r="I5" s="42"/>
      <c r="J5" s="42"/>
    </row>
    <row r="6" spans="1:13" x14ac:dyDescent="0.2">
      <c r="A6" s="40" t="s">
        <v>97</v>
      </c>
      <c r="B6" s="41">
        <f>135.1/(0.21/800)</f>
        <v>514666.66666666669</v>
      </c>
      <c r="C6" s="41">
        <f>143.95/(0.21/800)</f>
        <v>548380.95238095243</v>
      </c>
      <c r="D6" s="41">
        <f>(85.09/0.75)/(0.21/800)</f>
        <v>432203.17460317462</v>
      </c>
      <c r="E6" s="41">
        <f>135.78/(0.21/800)</f>
        <v>517257.1428571429</v>
      </c>
      <c r="F6" s="42"/>
      <c r="G6" s="42"/>
      <c r="H6" s="42"/>
      <c r="I6" s="42"/>
      <c r="J6" s="42"/>
    </row>
    <row r="7" spans="1:13" ht="12" thickBot="1" x14ac:dyDescent="0.25">
      <c r="A7" s="40" t="s">
        <v>98</v>
      </c>
      <c r="B7" s="41">
        <f>B6*(0.21/1000)</f>
        <v>108.08</v>
      </c>
      <c r="C7" s="41">
        <f t="shared" ref="C7:E7" si="1">C6*(0.21/1000)</f>
        <v>115.16</v>
      </c>
      <c r="D7" s="41">
        <f t="shared" si="1"/>
        <v>90.762666666666661</v>
      </c>
      <c r="E7" s="41">
        <f t="shared" si="1"/>
        <v>108.624</v>
      </c>
      <c r="F7" s="42"/>
      <c r="G7" s="42"/>
      <c r="H7" s="42"/>
      <c r="I7" s="42"/>
      <c r="J7" s="42"/>
    </row>
    <row r="8" spans="1:13" ht="12" x14ac:dyDescent="0.2">
      <c r="A8" s="270" t="s">
        <v>343</v>
      </c>
      <c r="B8" s="231">
        <f>AVERAGE(B4:B6)*'NASS price index'!$D$20</f>
        <v>328660.83837543399</v>
      </c>
      <c r="C8" s="231">
        <f>AVERAGE(C4:C6)*'NASS price index'!$D$20</f>
        <v>343421.98067346541</v>
      </c>
      <c r="D8" s="231">
        <f>AVERAGE(D4:D6)*'NASS price index'!$D$20</f>
        <v>275854.10609643959</v>
      </c>
      <c r="E8" s="231">
        <f>AVERAGE(E4:E6)*'NASS price index'!$D$20</f>
        <v>329647.78677352262</v>
      </c>
      <c r="F8" s="232">
        <f>AVERAGE(B8:E8)</f>
        <v>319396.1779797154</v>
      </c>
      <c r="G8" s="42">
        <f>+F8/F9</f>
        <v>2020.9537101442068</v>
      </c>
      <c r="H8" s="42"/>
      <c r="I8" s="42"/>
      <c r="J8" s="42">
        <f>+B8/B9</f>
        <v>2016.2690749654168</v>
      </c>
      <c r="K8" s="42">
        <f t="shared" ref="K8:M8" si="2">+C8/C9</f>
        <v>2031.9107284716047</v>
      </c>
      <c r="L8" s="42">
        <f t="shared" si="2"/>
        <v>2016.6870986743761</v>
      </c>
      <c r="M8" s="42">
        <f t="shared" si="2"/>
        <v>2017.8645191336145</v>
      </c>
    </row>
    <row r="9" spans="1:13" ht="12" x14ac:dyDescent="0.2">
      <c r="A9" s="271" t="s">
        <v>344</v>
      </c>
      <c r="B9" s="240">
        <f>AVERAGE(B5,B7)*'NASS price index'!$D$20</f>
        <v>163.00445335207613</v>
      </c>
      <c r="C9" s="240">
        <f>AVERAGE(C5,C7)*'NASS price index'!$D$20</f>
        <v>169.01430553092561</v>
      </c>
      <c r="D9" s="240">
        <f>AVERAGE(D5,D7)*'NASS price index'!$D$20</f>
        <v>136.78577419261822</v>
      </c>
      <c r="E9" s="240">
        <f>AVERAGE(E5,E7)*'NASS price index'!$D$20</f>
        <v>163.36467768166091</v>
      </c>
      <c r="F9" s="234">
        <f>AVERAGE(B9:E9)</f>
        <v>158.04230268932019</v>
      </c>
      <c r="G9" s="239"/>
      <c r="H9" s="42"/>
      <c r="I9" s="42"/>
      <c r="J9" s="42"/>
    </row>
    <row r="10" spans="1:13" ht="12" x14ac:dyDescent="0.25">
      <c r="A10" s="272" t="s">
        <v>99</v>
      </c>
      <c r="B10" s="233">
        <v>20</v>
      </c>
      <c r="C10" s="233">
        <v>20</v>
      </c>
      <c r="D10" s="233">
        <v>20</v>
      </c>
      <c r="E10" s="233">
        <v>20</v>
      </c>
      <c r="F10" s="234">
        <f>AVERAGE(B10:E10)</f>
        <v>20</v>
      </c>
      <c r="G10" s="42"/>
      <c r="H10" s="42"/>
      <c r="I10" s="42"/>
      <c r="J10" s="42"/>
    </row>
    <row r="11" spans="1:13" ht="12.6" thickBot="1" x14ac:dyDescent="0.3">
      <c r="A11" s="265" t="s">
        <v>345</v>
      </c>
      <c r="B11" s="237">
        <f>B8*0.05</f>
        <v>16433.041918771702</v>
      </c>
      <c r="C11" s="237">
        <f t="shared" ref="C11:E11" si="3">C8*0.05</f>
        <v>17171.099033673272</v>
      </c>
      <c r="D11" s="237">
        <f t="shared" si="3"/>
        <v>13792.70530482198</v>
      </c>
      <c r="E11" s="237">
        <f t="shared" si="3"/>
        <v>16482.38933867613</v>
      </c>
      <c r="F11" s="236">
        <f>AVERAGE(B11:E11)</f>
        <v>15969.808898985772</v>
      </c>
      <c r="G11" s="42"/>
      <c r="H11" s="42"/>
      <c r="I11" s="42"/>
      <c r="J11" s="42"/>
    </row>
    <row r="12" spans="1:13" ht="12" x14ac:dyDescent="0.25">
      <c r="A12" s="52" t="s">
        <v>346</v>
      </c>
      <c r="B12" s="53">
        <f>-PMT(Annual_rate1,B10,B8)+B11</f>
        <v>42805.637898278168</v>
      </c>
      <c r="C12" s="53">
        <f>-PMT(Annual_rate1,C10,C8)+C11</f>
        <v>44728.167261063732</v>
      </c>
      <c r="D12" s="53">
        <f>-PMT(Annual_rate1,D10,D8)+D11</f>
        <v>35927.952465175746</v>
      </c>
      <c r="E12" s="53">
        <f>-PMT(Annual_rate1,E10,E8)+E11</f>
        <v>42934.180611068936</v>
      </c>
      <c r="F12" s="42"/>
      <c r="G12" s="42"/>
      <c r="H12" s="42"/>
      <c r="I12" s="42"/>
      <c r="J12" s="42"/>
    </row>
    <row r="13" spans="1:13" ht="12" x14ac:dyDescent="0.25">
      <c r="A13" s="52" t="s">
        <v>347</v>
      </c>
      <c r="B13" s="53">
        <f>(-PMT(Annual_rate1,B10,B9))</f>
        <v>13.079899060574943</v>
      </c>
      <c r="C13" s="53">
        <f>(-PMT(Annual_rate1,C10,C9))</f>
        <v>13.562145148039441</v>
      </c>
      <c r="D13" s="53">
        <f>(-PMT(Annual_rate1,D10,D9))</f>
        <v>10.976044412097382</v>
      </c>
      <c r="E13" s="53">
        <f>(-PMT(Annual_rate1,E10,E9))</f>
        <v>13.108804392749859</v>
      </c>
      <c r="F13" s="45"/>
      <c r="G13" s="45"/>
      <c r="H13" s="45"/>
      <c r="I13" s="45"/>
      <c r="J13" s="45"/>
    </row>
    <row r="14" spans="1:13" x14ac:dyDescent="0.2">
      <c r="F14" s="45"/>
      <c r="G14" s="45"/>
      <c r="H14" s="45"/>
      <c r="I14" s="45"/>
      <c r="J14" s="45"/>
    </row>
    <row r="15" spans="1:13" ht="12" x14ac:dyDescent="0.25">
      <c r="A15" s="52" t="s">
        <v>81</v>
      </c>
      <c r="B15" s="42"/>
      <c r="C15" s="42"/>
      <c r="D15" s="42"/>
      <c r="E15" s="42"/>
      <c r="F15" s="45"/>
      <c r="G15" s="45"/>
      <c r="H15" s="45"/>
      <c r="I15" s="45"/>
      <c r="J15" s="45"/>
    </row>
    <row r="16" spans="1:13" x14ac:dyDescent="0.2">
      <c r="A16" s="40" t="s">
        <v>82</v>
      </c>
      <c r="B16" s="42"/>
      <c r="C16" s="42"/>
      <c r="D16" s="42"/>
      <c r="E16" s="42"/>
      <c r="F16" s="45"/>
      <c r="G16" s="45"/>
      <c r="H16" s="45"/>
      <c r="I16" s="45"/>
      <c r="J16" s="45"/>
    </row>
    <row r="17" spans="1:10" x14ac:dyDescent="0.2">
      <c r="A17" s="43" t="s">
        <v>100</v>
      </c>
      <c r="B17" s="42"/>
      <c r="C17" s="42"/>
      <c r="D17" s="42"/>
      <c r="E17" s="42"/>
      <c r="F17" s="45"/>
      <c r="G17" s="45"/>
      <c r="H17" s="45"/>
      <c r="I17" s="45"/>
      <c r="J17" s="45"/>
    </row>
    <row r="18" spans="1:10" x14ac:dyDescent="0.2">
      <c r="A18" s="43" t="s">
        <v>101</v>
      </c>
      <c r="B18" s="42"/>
      <c r="C18" s="42"/>
      <c r="D18" s="42"/>
      <c r="E18" s="42"/>
      <c r="F18" s="45"/>
      <c r="G18" s="45"/>
      <c r="H18" s="45"/>
      <c r="I18" s="45"/>
      <c r="J18" s="45"/>
    </row>
    <row r="19" spans="1:10" x14ac:dyDescent="0.2">
      <c r="B19" s="42"/>
      <c r="C19" s="42"/>
      <c r="D19" s="42"/>
      <c r="E19" s="42"/>
      <c r="F19" s="45"/>
      <c r="G19" s="45"/>
      <c r="H19" s="45"/>
      <c r="I19" s="45"/>
      <c r="J19" s="45"/>
    </row>
    <row r="20" spans="1:10" ht="12" x14ac:dyDescent="0.25">
      <c r="A20" s="54" t="s">
        <v>84</v>
      </c>
      <c r="F20" s="46"/>
      <c r="G20" s="45"/>
      <c r="H20" s="45"/>
      <c r="I20" s="45"/>
      <c r="J20" s="45"/>
    </row>
    <row r="21" spans="1:10" x14ac:dyDescent="0.2">
      <c r="A21" s="40" t="s">
        <v>85</v>
      </c>
      <c r="F21" s="46"/>
      <c r="G21" s="45"/>
      <c r="H21" s="45"/>
      <c r="I21" s="45"/>
      <c r="J21" s="45"/>
    </row>
    <row r="22" spans="1:10" x14ac:dyDescent="0.2">
      <c r="A22" s="46" t="s">
        <v>102</v>
      </c>
      <c r="B22" s="46"/>
      <c r="C22" s="46"/>
      <c r="D22" s="46"/>
      <c r="E22" s="46"/>
      <c r="G22" s="45"/>
      <c r="H22" s="45"/>
      <c r="I22" s="45"/>
      <c r="J22" s="45"/>
    </row>
    <row r="23" spans="1:10" x14ac:dyDescent="0.2">
      <c r="A23" s="46" t="s">
        <v>103</v>
      </c>
      <c r="B23" s="46"/>
      <c r="C23" s="46"/>
      <c r="D23" s="46"/>
      <c r="E23" s="46"/>
      <c r="G23" s="45"/>
      <c r="H23" s="45"/>
      <c r="I23" s="45"/>
      <c r="J23" s="45"/>
    </row>
    <row r="24" spans="1:10" x14ac:dyDescent="0.2">
      <c r="A24" s="46" t="s">
        <v>104</v>
      </c>
      <c r="B24" s="46"/>
      <c r="C24" s="46"/>
      <c r="D24" s="46"/>
      <c r="E24" s="46"/>
      <c r="G24" s="46"/>
      <c r="H24" s="46"/>
      <c r="I24" s="46"/>
      <c r="J24" s="46"/>
    </row>
    <row r="25" spans="1:10" x14ac:dyDescent="0.2">
      <c r="A25" s="46"/>
      <c r="B25" s="46"/>
      <c r="C25" s="46"/>
      <c r="D25" s="46"/>
      <c r="E25" s="46"/>
      <c r="G25" s="46"/>
      <c r="H25" s="46"/>
      <c r="I25" s="46"/>
      <c r="J25" s="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DE639-4E2D-48DF-BD25-CD244707BA2A}">
  <dimension ref="A1:N63"/>
  <sheetViews>
    <sheetView workbookViewId="0">
      <selection activeCell="E32" sqref="E32"/>
    </sheetView>
    <sheetView workbookViewId="1"/>
  </sheetViews>
  <sheetFormatPr defaultColWidth="9.109375" defaultRowHeight="12" customHeight="1" x14ac:dyDescent="0.2"/>
  <cols>
    <col min="1" max="1" width="88.109375" style="40" customWidth="1"/>
    <col min="2" max="2" width="12.109375" style="40" customWidth="1"/>
    <col min="3" max="3" width="14.109375" style="40" customWidth="1"/>
    <col min="4" max="4" width="14.88671875" style="40" customWidth="1"/>
    <col min="5" max="5" width="15" style="40" customWidth="1"/>
    <col min="6" max="6" width="11.88671875" style="40" customWidth="1"/>
    <col min="7" max="8" width="15.109375" style="40" customWidth="1"/>
    <col min="9" max="16384" width="9.109375" style="40"/>
  </cols>
  <sheetData>
    <row r="1" spans="1:14" s="37" customFormat="1" ht="12" customHeight="1" x14ac:dyDescent="0.2">
      <c r="A1" s="37" t="s">
        <v>62</v>
      </c>
    </row>
    <row r="3" spans="1:14" ht="12" customHeight="1" x14ac:dyDescent="0.25">
      <c r="A3" s="38" t="s">
        <v>63</v>
      </c>
      <c r="B3" s="38" t="s">
        <v>64</v>
      </c>
      <c r="C3" s="38" t="s">
        <v>65</v>
      </c>
      <c r="D3" s="38" t="s">
        <v>66</v>
      </c>
      <c r="E3" s="38" t="s">
        <v>67</v>
      </c>
      <c r="F3" s="38" t="s">
        <v>68</v>
      </c>
      <c r="G3" s="38" t="s">
        <v>69</v>
      </c>
      <c r="H3" s="228" t="s">
        <v>49</v>
      </c>
    </row>
    <row r="4" spans="1:14" ht="12" customHeight="1" x14ac:dyDescent="0.2">
      <c r="A4" s="40" t="s">
        <v>70</v>
      </c>
      <c r="B4" s="41">
        <v>0.86</v>
      </c>
      <c r="C4" s="41"/>
      <c r="D4" s="41">
        <v>0.86</v>
      </c>
      <c r="E4" s="41">
        <f>0.6/0.75</f>
        <v>0.79999999999999993</v>
      </c>
      <c r="F4" s="41">
        <v>0.93</v>
      </c>
      <c r="G4" s="41">
        <v>0.62</v>
      </c>
      <c r="H4" s="229"/>
      <c r="I4" s="42"/>
      <c r="J4" s="42"/>
      <c r="K4" s="42"/>
      <c r="L4" s="42"/>
      <c r="M4" s="42"/>
      <c r="N4" s="42"/>
    </row>
    <row r="5" spans="1:14" ht="12" customHeight="1" x14ac:dyDescent="0.2">
      <c r="A5" s="40" t="s">
        <v>71</v>
      </c>
      <c r="B5" s="41">
        <v>1.39</v>
      </c>
      <c r="C5" s="41"/>
      <c r="D5" s="41">
        <v>1.37</v>
      </c>
      <c r="E5" s="41">
        <f>0.98/0.75</f>
        <v>1.3066666666666666</v>
      </c>
      <c r="F5" s="41">
        <v>1.5</v>
      </c>
      <c r="G5" s="41">
        <v>1.66</v>
      </c>
      <c r="H5" s="229"/>
      <c r="I5" s="42"/>
      <c r="J5" s="42"/>
      <c r="K5" s="42"/>
      <c r="L5" s="42"/>
      <c r="M5" s="42"/>
      <c r="N5" s="42"/>
    </row>
    <row r="6" spans="1:14" ht="12" customHeight="1" x14ac:dyDescent="0.2">
      <c r="A6" s="40" t="s">
        <v>72</v>
      </c>
      <c r="B6" s="41">
        <v>4.0999999999999996</v>
      </c>
      <c r="C6" s="41"/>
      <c r="D6" s="41">
        <v>4.3499999999999996</v>
      </c>
      <c r="E6" s="41"/>
      <c r="F6" s="41">
        <v>4.1399999999999997</v>
      </c>
      <c r="G6" s="41"/>
      <c r="H6" s="229"/>
      <c r="I6" s="42"/>
      <c r="J6" s="42"/>
      <c r="K6" s="42"/>
      <c r="L6" s="42"/>
      <c r="M6" s="42"/>
      <c r="N6" s="42"/>
    </row>
    <row r="7" spans="1:14" ht="12" customHeight="1" x14ac:dyDescent="0.2">
      <c r="A7" s="43" t="s">
        <v>73</v>
      </c>
      <c r="B7" s="41"/>
      <c r="C7" s="41">
        <v>0.84</v>
      </c>
      <c r="D7" s="41"/>
      <c r="E7" s="41"/>
      <c r="F7" s="41"/>
      <c r="G7" s="41"/>
      <c r="H7" s="229"/>
      <c r="I7" s="42"/>
      <c r="J7" s="42"/>
      <c r="K7" s="42"/>
      <c r="L7" s="42"/>
      <c r="M7" s="42"/>
      <c r="N7" s="42"/>
    </row>
    <row r="8" spans="1:14" ht="12" customHeight="1" x14ac:dyDescent="0.2">
      <c r="A8" s="43" t="s">
        <v>74</v>
      </c>
      <c r="B8" s="41"/>
      <c r="C8" s="41">
        <v>2.2200000000000002</v>
      </c>
      <c r="D8" s="41"/>
      <c r="E8" s="41"/>
      <c r="F8" s="41"/>
      <c r="G8" s="41"/>
      <c r="H8" s="229"/>
      <c r="I8" s="42"/>
      <c r="J8" s="42"/>
      <c r="K8" s="42"/>
      <c r="L8" s="42"/>
      <c r="M8" s="42"/>
      <c r="N8" s="42"/>
    </row>
    <row r="9" spans="1:14" ht="12" customHeight="1" x14ac:dyDescent="0.2">
      <c r="A9" s="43" t="s">
        <v>75</v>
      </c>
      <c r="B9" s="41"/>
      <c r="C9" s="41">
        <v>4.3</v>
      </c>
      <c r="D9" s="41"/>
      <c r="E9" s="41"/>
      <c r="F9" s="41"/>
      <c r="G9" s="41"/>
      <c r="H9" s="229"/>
      <c r="I9" s="42"/>
      <c r="J9" s="42"/>
      <c r="K9" s="42"/>
      <c r="L9" s="42"/>
      <c r="M9" s="42"/>
      <c r="N9" s="42"/>
    </row>
    <row r="10" spans="1:14" ht="12" customHeight="1" x14ac:dyDescent="0.2">
      <c r="A10" s="43" t="s">
        <v>76</v>
      </c>
      <c r="B10" s="41"/>
      <c r="C10" s="41">
        <v>4.05</v>
      </c>
      <c r="D10" s="41"/>
      <c r="E10" s="41"/>
      <c r="F10" s="41"/>
      <c r="G10" s="41"/>
      <c r="H10" s="229"/>
      <c r="I10" s="42"/>
      <c r="J10" s="42"/>
      <c r="K10" s="42"/>
      <c r="L10" s="42"/>
      <c r="M10" s="42"/>
      <c r="N10" s="42"/>
    </row>
    <row r="11" spans="1:14" s="46" customFormat="1" ht="12" customHeight="1" x14ac:dyDescent="0.2">
      <c r="A11" s="43" t="s">
        <v>77</v>
      </c>
      <c r="B11" s="41"/>
      <c r="C11" s="41">
        <v>6.1</v>
      </c>
      <c r="D11" s="41"/>
      <c r="E11" s="41"/>
      <c r="F11" s="41"/>
      <c r="G11" s="44"/>
      <c r="H11" s="230"/>
      <c r="I11" s="45"/>
      <c r="J11" s="45"/>
      <c r="K11" s="45"/>
      <c r="L11" s="45"/>
      <c r="M11" s="45"/>
      <c r="N11" s="45"/>
    </row>
    <row r="12" spans="1:14" s="46" customFormat="1" ht="12" customHeight="1" x14ac:dyDescent="0.2">
      <c r="A12" s="46" t="s">
        <v>78</v>
      </c>
      <c r="B12" s="41">
        <f t="shared" ref="B12:G12" si="0">AVERAGE(B4:B11)*NASS2016</f>
        <v>2.0965253748558248</v>
      </c>
      <c r="C12" s="41">
        <f t="shared" si="0"/>
        <v>3.4686764705882354</v>
      </c>
      <c r="D12" s="41">
        <f t="shared" si="0"/>
        <v>2.1724625144175316</v>
      </c>
      <c r="E12" s="41">
        <f t="shared" si="0"/>
        <v>1.0433102652825836</v>
      </c>
      <c r="F12" s="41">
        <f t="shared" si="0"/>
        <v>2.1691608996539791</v>
      </c>
      <c r="G12" s="41">
        <f t="shared" si="0"/>
        <v>1.1291522491349479</v>
      </c>
      <c r="H12" s="230"/>
      <c r="I12" s="45"/>
      <c r="J12" s="45"/>
      <c r="K12" s="45"/>
      <c r="L12" s="45"/>
      <c r="M12" s="45"/>
      <c r="N12" s="45"/>
    </row>
    <row r="13" spans="1:14" s="46" customFormat="1" ht="12" hidden="1" customHeight="1" x14ac:dyDescent="0.2">
      <c r="A13" s="47" t="s">
        <v>343</v>
      </c>
      <c r="B13" s="48">
        <f>43560*B12</f>
        <v>91324.645328719722</v>
      </c>
      <c r="C13" s="48">
        <f t="shared" ref="C13:G13" si="1">43560*C12</f>
        <v>151095.54705882352</v>
      </c>
      <c r="D13" s="48">
        <f t="shared" si="1"/>
        <v>94632.467128027682</v>
      </c>
      <c r="E13" s="48">
        <f t="shared" si="1"/>
        <v>45446.595155709343</v>
      </c>
      <c r="F13" s="48">
        <f t="shared" si="1"/>
        <v>94488.648788927327</v>
      </c>
      <c r="G13" s="48">
        <f t="shared" si="1"/>
        <v>49185.871972318331</v>
      </c>
      <c r="H13" s="230"/>
      <c r="I13" s="45"/>
      <c r="J13" s="45"/>
      <c r="K13" s="45"/>
      <c r="L13" s="45"/>
      <c r="M13" s="45"/>
      <c r="N13" s="45"/>
    </row>
    <row r="14" spans="1:14" s="46" customFormat="1" ht="12" hidden="1" customHeight="1" x14ac:dyDescent="0.2">
      <c r="A14" s="49" t="s">
        <v>79</v>
      </c>
      <c r="B14" s="50">
        <v>20</v>
      </c>
      <c r="C14" s="50">
        <v>20</v>
      </c>
      <c r="D14" s="50">
        <v>20</v>
      </c>
      <c r="E14" s="50">
        <v>20</v>
      </c>
      <c r="F14" s="50">
        <v>20</v>
      </c>
      <c r="G14" s="50">
        <v>20</v>
      </c>
      <c r="H14" s="230"/>
      <c r="I14" s="45"/>
      <c r="J14" s="45"/>
      <c r="K14" s="45"/>
      <c r="L14" s="45"/>
      <c r="M14" s="45"/>
      <c r="N14" s="45"/>
    </row>
    <row r="15" spans="1:14" s="46" customFormat="1" ht="12" hidden="1" customHeight="1" x14ac:dyDescent="0.2">
      <c r="A15" s="49" t="s">
        <v>348</v>
      </c>
      <c r="B15" s="51">
        <f>B13*0.05</f>
        <v>4566.2322664359863</v>
      </c>
      <c r="C15" s="51">
        <f t="shared" ref="C15:G15" si="2">C13*0.05</f>
        <v>7554.7773529411761</v>
      </c>
      <c r="D15" s="51">
        <f t="shared" si="2"/>
        <v>4731.6233564013846</v>
      </c>
      <c r="E15" s="51">
        <f t="shared" si="2"/>
        <v>2272.3297577854673</v>
      </c>
      <c r="F15" s="51">
        <f t="shared" si="2"/>
        <v>4724.4324394463665</v>
      </c>
      <c r="G15" s="51">
        <f t="shared" si="2"/>
        <v>2459.2935986159168</v>
      </c>
      <c r="H15" s="230"/>
      <c r="I15" s="45"/>
      <c r="J15" s="45"/>
      <c r="K15" s="45"/>
      <c r="L15" s="45"/>
      <c r="M15" s="45"/>
      <c r="N15" s="45"/>
    </row>
    <row r="16" spans="1:14" s="46" customFormat="1" ht="12" hidden="1" customHeight="1" x14ac:dyDescent="0.25">
      <c r="A16" s="52" t="s">
        <v>80</v>
      </c>
      <c r="B16" s="53">
        <f>-PMT(Annual_rate1,B14,B13)+B15</f>
        <v>11894.35808188474</v>
      </c>
      <c r="C16" s="53">
        <f>-PMT(Annual_rate1,C14,C13)</f>
        <v>12124.297608992849</v>
      </c>
      <c r="D16" s="53">
        <f>-PMT(Annual_rate1,D14,D13)</f>
        <v>7593.5539945909914</v>
      </c>
      <c r="E16" s="53">
        <f>-PMT(Annual_rate1,E14,E13)</f>
        <v>3646.752374302057</v>
      </c>
      <c r="F16" s="53">
        <f>-PMT(Annual_rate1,F14,F13)</f>
        <v>7582.0136389761101</v>
      </c>
      <c r="G16" s="53">
        <f>-PMT(Annual_rate1,G14,G13)</f>
        <v>3946.8016202889339</v>
      </c>
      <c r="H16" s="230"/>
      <c r="I16" s="45"/>
      <c r="J16" s="45"/>
      <c r="K16" s="45"/>
      <c r="L16" s="45"/>
      <c r="M16" s="45"/>
      <c r="N16" s="45"/>
    </row>
    <row r="17" spans="1:14" s="46" customFormat="1" ht="12" customHeight="1" thickBot="1" x14ac:dyDescent="0.25">
      <c r="A17" s="43"/>
      <c r="B17" s="42"/>
      <c r="C17" s="42"/>
      <c r="D17" s="42"/>
      <c r="E17" s="42"/>
      <c r="F17" s="42"/>
      <c r="G17" s="45"/>
      <c r="H17" s="230"/>
      <c r="I17" s="45"/>
      <c r="J17" s="45"/>
      <c r="K17" s="45"/>
      <c r="L17" s="45"/>
      <c r="M17" s="45"/>
      <c r="N17" s="45"/>
    </row>
    <row r="18" spans="1:14" s="46" customFormat="1" ht="12" customHeight="1" x14ac:dyDescent="0.2">
      <c r="A18" s="270" t="s">
        <v>343</v>
      </c>
      <c r="B18" s="231">
        <f>+B13</f>
        <v>91324.645328719722</v>
      </c>
      <c r="C18" s="231">
        <f t="shared" ref="C18:G18" si="3">+C13</f>
        <v>151095.54705882352</v>
      </c>
      <c r="D18" s="231">
        <f t="shared" si="3"/>
        <v>94632.467128027682</v>
      </c>
      <c r="E18" s="231">
        <f t="shared" si="3"/>
        <v>45446.595155709343</v>
      </c>
      <c r="F18" s="231">
        <f t="shared" si="3"/>
        <v>94488.648788927327</v>
      </c>
      <c r="G18" s="231">
        <f t="shared" si="3"/>
        <v>49185.871972318331</v>
      </c>
      <c r="H18" s="232">
        <f>+AVERAGE(B18:G18)</f>
        <v>87695.629238754322</v>
      </c>
      <c r="I18" s="45"/>
      <c r="J18" s="45"/>
      <c r="K18" s="45"/>
      <c r="L18" s="45"/>
      <c r="M18" s="45"/>
      <c r="N18" s="45"/>
    </row>
    <row r="19" spans="1:14" s="46" customFormat="1" ht="12" customHeight="1" x14ac:dyDescent="0.25">
      <c r="A19" s="272" t="s">
        <v>79</v>
      </c>
      <c r="B19" s="233">
        <v>20</v>
      </c>
      <c r="C19" s="233">
        <v>20</v>
      </c>
      <c r="D19" s="233">
        <v>20</v>
      </c>
      <c r="E19" s="233">
        <v>20</v>
      </c>
      <c r="F19" s="233">
        <v>20</v>
      </c>
      <c r="G19" s="233">
        <v>20</v>
      </c>
      <c r="H19" s="234">
        <f t="shared" ref="H19:H20" si="4">+AVERAGE(B19:G19)</f>
        <v>20</v>
      </c>
      <c r="I19" s="45"/>
      <c r="J19" s="45"/>
      <c r="K19" s="45"/>
      <c r="L19" s="45"/>
      <c r="M19" s="45"/>
      <c r="N19" s="45"/>
    </row>
    <row r="20" spans="1:14" s="46" customFormat="1" ht="12" customHeight="1" thickBot="1" x14ac:dyDescent="0.3">
      <c r="A20" s="265" t="s">
        <v>348</v>
      </c>
      <c r="B20" s="235">
        <f>+B15</f>
        <v>4566.2322664359863</v>
      </c>
      <c r="C20" s="235">
        <f t="shared" ref="C20:G20" si="5">+C15</f>
        <v>7554.7773529411761</v>
      </c>
      <c r="D20" s="235">
        <f t="shared" si="5"/>
        <v>4731.6233564013846</v>
      </c>
      <c r="E20" s="235">
        <f t="shared" si="5"/>
        <v>2272.3297577854673</v>
      </c>
      <c r="F20" s="235">
        <f t="shared" si="5"/>
        <v>4724.4324394463665</v>
      </c>
      <c r="G20" s="235">
        <f t="shared" si="5"/>
        <v>2459.2935986159168</v>
      </c>
      <c r="H20" s="236">
        <f t="shared" si="4"/>
        <v>4384.7814619377159</v>
      </c>
      <c r="I20" s="45"/>
      <c r="J20" s="45"/>
      <c r="K20" s="45"/>
      <c r="L20" s="45"/>
      <c r="M20" s="45"/>
      <c r="N20" s="45"/>
    </row>
    <row r="21" spans="1:14" s="46" customFormat="1" ht="12" customHeight="1" x14ac:dyDescent="0.25">
      <c r="A21" s="52" t="s">
        <v>349</v>
      </c>
      <c r="B21" s="53">
        <f>-PMT(Annual_rate1,B19,B18)+B20</f>
        <v>11894.35808188474</v>
      </c>
      <c r="C21" s="53">
        <f>-PMT(Annual_rate1,C19,C18)</f>
        <v>12124.297608992849</v>
      </c>
      <c r="D21" s="53">
        <f>-PMT(Annual_rate1,D19,D18)</f>
        <v>7593.5539945909914</v>
      </c>
      <c r="E21" s="53">
        <f>-PMT(Annual_rate1,E19,E18)</f>
        <v>3646.752374302057</v>
      </c>
      <c r="F21" s="53">
        <f>-PMT(Annual_rate1,F19,F18)</f>
        <v>7582.0136389761101</v>
      </c>
      <c r="G21" s="53">
        <f>-PMT(Annual_rate1,G19,G18)</f>
        <v>3946.8016202889339</v>
      </c>
      <c r="H21" s="45"/>
      <c r="I21" s="45"/>
      <c r="J21" s="45"/>
      <c r="K21" s="45"/>
      <c r="L21" s="45"/>
      <c r="M21" s="45"/>
      <c r="N21" s="45"/>
    </row>
    <row r="22" spans="1:14" s="46" customFormat="1" ht="12" customHeight="1" thickBot="1" x14ac:dyDescent="0.3">
      <c r="A22" s="52"/>
      <c r="B22" s="53"/>
      <c r="C22" s="53"/>
      <c r="D22" s="53"/>
      <c r="E22" s="53"/>
      <c r="F22" s="53"/>
      <c r="G22" s="53"/>
      <c r="H22" s="45"/>
      <c r="I22" s="45"/>
      <c r="J22" s="45"/>
      <c r="K22" s="45"/>
      <c r="L22" s="45"/>
      <c r="M22" s="45"/>
      <c r="N22" s="45"/>
    </row>
    <row r="23" spans="1:14" s="46" customFormat="1" ht="12" customHeight="1" x14ac:dyDescent="0.2">
      <c r="A23" s="270" t="s">
        <v>344</v>
      </c>
      <c r="B23" s="231">
        <f>+B18*('40.1 ShoreAgNoVeg'!$F$9/'40.1 ShoreAgNoVeg'!$F$8)</f>
        <v>45.188885262593757</v>
      </c>
      <c r="C23" s="231">
        <f>+C18*('40.1 ShoreAgNoVeg'!$F$9/'40.1 ShoreAgNoVeg'!$F$8)</f>
        <v>74.764476939970081</v>
      </c>
      <c r="D23" s="231">
        <f>+D18*('40.1 ShoreAgNoVeg'!$F$9/'40.1 ShoreAgNoVeg'!$F$8)</f>
        <v>46.825648035884555</v>
      </c>
      <c r="E23" s="231">
        <f>+E18*('40.1 ShoreAgNoVeg'!$F$9/'40.1 ShoreAgNoVeg'!$F$8)</f>
        <v>22.487697233038784</v>
      </c>
      <c r="F23" s="231">
        <f>+F18*('40.1 ShoreAgNoVeg'!$F$9/'40.1 ShoreAgNoVeg'!$F$8)</f>
        <v>46.754484437045818</v>
      </c>
      <c r="G23" s="231">
        <f>+G18*('40.1 ShoreAgNoVeg'!$F$9/'40.1 ShoreAgNoVeg'!$F$8)</f>
        <v>24.337950802845768</v>
      </c>
      <c r="H23" s="232">
        <f>+H18*('40.1 ShoreAgNoVeg'!$F$9/'40.1 ShoreAgNoVeg'!$F$8)</f>
        <v>43.393190451896459</v>
      </c>
      <c r="I23" s="45"/>
      <c r="J23" s="45"/>
      <c r="K23" s="45"/>
      <c r="L23" s="45"/>
      <c r="M23" s="45"/>
      <c r="N23" s="45"/>
    </row>
    <row r="24" spans="1:14" s="46" customFormat="1" ht="12" customHeight="1" x14ac:dyDescent="0.25">
      <c r="A24" s="272" t="s">
        <v>79</v>
      </c>
      <c r="B24" s="233">
        <v>20</v>
      </c>
      <c r="C24" s="233">
        <v>20</v>
      </c>
      <c r="D24" s="233">
        <v>20</v>
      </c>
      <c r="E24" s="233">
        <v>20</v>
      </c>
      <c r="F24" s="233">
        <v>20</v>
      </c>
      <c r="G24" s="233">
        <v>20</v>
      </c>
      <c r="H24" s="234">
        <f t="shared" ref="H24" si="6">+AVERAGE(B24:G24)</f>
        <v>20</v>
      </c>
      <c r="I24" s="45"/>
      <c r="J24" s="45"/>
      <c r="K24" s="45"/>
      <c r="L24" s="45"/>
      <c r="M24" s="45"/>
      <c r="N24" s="45"/>
    </row>
    <row r="25" spans="1:14" s="46" customFormat="1" ht="12" customHeight="1" thickBot="1" x14ac:dyDescent="0.3">
      <c r="A25" s="265" t="s">
        <v>350</v>
      </c>
      <c r="B25" s="235">
        <f>+B20*('40.1 ShoreAgNoVeg'!$F$9/'40.1 ShoreAgNoVeg'!$F$8)</f>
        <v>2.259444263129688</v>
      </c>
      <c r="C25" s="235">
        <f>+C20*('40.1 ShoreAgNoVeg'!$F$9/'40.1 ShoreAgNoVeg'!$F$8)</f>
        <v>3.7382238469985039</v>
      </c>
      <c r="D25" s="235">
        <f>+D20*('40.1 ShoreAgNoVeg'!$F$9/'40.1 ShoreAgNoVeg'!$F$8)</f>
        <v>2.3412824017942282</v>
      </c>
      <c r="E25" s="235">
        <f>+E20*('40.1 ShoreAgNoVeg'!$F$9/'40.1 ShoreAgNoVeg'!$F$8)</f>
        <v>1.1243848616519392</v>
      </c>
      <c r="F25" s="235">
        <f>+F20*('40.1 ShoreAgNoVeg'!$F$9/'40.1 ShoreAgNoVeg'!$F$8)</f>
        <v>2.3377242218522913</v>
      </c>
      <c r="G25" s="235">
        <f>+G20*('40.1 ShoreAgNoVeg'!$F$9/'40.1 ShoreAgNoVeg'!$F$8)</f>
        <v>1.2168975401422886</v>
      </c>
      <c r="H25" s="236">
        <f>+H20*('40.1 ShoreAgNoVeg'!$F$9/'40.1 ShoreAgNoVeg'!$F$8)</f>
        <v>2.1696595225948232</v>
      </c>
      <c r="I25" s="45"/>
      <c r="J25" s="45"/>
      <c r="K25" s="45"/>
      <c r="L25" s="45"/>
      <c r="M25" s="45"/>
      <c r="N25" s="45"/>
    </row>
    <row r="26" spans="1:14" s="46" customFormat="1" ht="12" customHeight="1" x14ac:dyDescent="0.25">
      <c r="A26" s="52"/>
      <c r="B26" s="53"/>
      <c r="C26" s="53"/>
      <c r="D26" s="53"/>
      <c r="E26" s="53"/>
      <c r="F26" s="53"/>
      <c r="G26" s="53"/>
      <c r="H26" s="45"/>
      <c r="I26" s="45"/>
      <c r="J26" s="45"/>
      <c r="K26" s="45"/>
      <c r="L26" s="45"/>
      <c r="M26" s="45"/>
      <c r="N26" s="45"/>
    </row>
    <row r="27" spans="1:14" s="46" customFormat="1" ht="12" customHeight="1" x14ac:dyDescent="0.25">
      <c r="A27" s="52"/>
      <c r="B27" s="53"/>
      <c r="C27" s="53"/>
      <c r="D27" s="53"/>
      <c r="E27" s="53"/>
      <c r="F27" s="53"/>
      <c r="G27" s="53"/>
      <c r="H27" s="45"/>
      <c r="I27" s="45"/>
      <c r="J27" s="45"/>
      <c r="K27" s="45"/>
      <c r="L27" s="45"/>
      <c r="M27" s="45"/>
      <c r="N27" s="45"/>
    </row>
    <row r="28" spans="1:14" s="46" customFormat="1" ht="12" customHeight="1" x14ac:dyDescent="0.25">
      <c r="A28" s="52" t="s">
        <v>81</v>
      </c>
      <c r="B28" s="42"/>
      <c r="C28" s="42"/>
      <c r="D28" s="42"/>
      <c r="E28" s="42"/>
      <c r="F28" s="42"/>
      <c r="G28" s="45"/>
      <c r="H28" s="45"/>
      <c r="I28" s="45"/>
      <c r="J28" s="45"/>
      <c r="K28" s="45"/>
      <c r="L28" s="45"/>
      <c r="M28" s="45"/>
      <c r="N28" s="45"/>
    </row>
    <row r="29" spans="1:14" s="46" customFormat="1" ht="12" customHeight="1" x14ac:dyDescent="0.2">
      <c r="A29" s="40" t="s">
        <v>82</v>
      </c>
      <c r="B29" s="42"/>
      <c r="C29" s="42"/>
      <c r="D29" s="42"/>
      <c r="E29" s="42"/>
      <c r="F29" s="42"/>
      <c r="G29" s="45"/>
      <c r="H29" s="45"/>
      <c r="I29" s="45"/>
      <c r="J29" s="45"/>
      <c r="K29" s="45"/>
      <c r="L29" s="45"/>
      <c r="M29" s="45"/>
      <c r="N29" s="45"/>
    </row>
    <row r="30" spans="1:14" s="46" customFormat="1" ht="12" customHeight="1" x14ac:dyDescent="0.2">
      <c r="A30" s="40" t="s">
        <v>83</v>
      </c>
      <c r="B30" s="42"/>
      <c r="C30" s="42"/>
      <c r="D30" s="42"/>
      <c r="E30" s="42"/>
      <c r="F30" s="42"/>
      <c r="G30" s="45"/>
      <c r="H30" s="45"/>
      <c r="I30" s="45"/>
      <c r="J30" s="45"/>
      <c r="K30" s="45"/>
      <c r="L30" s="45"/>
      <c r="M30" s="45"/>
      <c r="N30" s="45"/>
    </row>
    <row r="31" spans="1:14" s="46" customFormat="1" ht="12" customHeight="1" x14ac:dyDescent="0.2">
      <c r="A31" s="40" t="s">
        <v>351</v>
      </c>
      <c r="B31" s="42"/>
      <c r="C31" s="42"/>
      <c r="D31" s="42"/>
      <c r="E31" s="42"/>
      <c r="F31" s="42"/>
      <c r="G31" s="45"/>
      <c r="H31" s="45"/>
      <c r="I31" s="45"/>
      <c r="J31" s="45"/>
      <c r="K31" s="45"/>
      <c r="L31" s="45"/>
      <c r="M31" s="45"/>
      <c r="N31" s="45"/>
    </row>
    <row r="32" spans="1:14" s="46" customFormat="1" ht="12" customHeight="1" x14ac:dyDescent="0.2">
      <c r="A32" s="40"/>
      <c r="B32" s="42"/>
      <c r="C32" s="42"/>
      <c r="D32" s="42"/>
      <c r="E32" s="42"/>
      <c r="F32" s="42"/>
      <c r="G32" s="45"/>
      <c r="H32" s="45"/>
      <c r="I32" s="45"/>
      <c r="J32" s="45"/>
      <c r="K32" s="45"/>
      <c r="L32" s="45"/>
      <c r="M32" s="45"/>
      <c r="N32" s="45"/>
    </row>
    <row r="33" spans="1:6" s="46" customFormat="1" ht="12" customHeight="1" x14ac:dyDescent="0.25">
      <c r="A33" s="54" t="s">
        <v>84</v>
      </c>
      <c r="B33" s="40"/>
      <c r="C33" s="40"/>
      <c r="D33" s="40"/>
      <c r="E33" s="40"/>
      <c r="F33" s="40"/>
    </row>
    <row r="34" spans="1:6" s="46" customFormat="1" ht="12" customHeight="1" x14ac:dyDescent="0.2">
      <c r="A34" s="40" t="s">
        <v>85</v>
      </c>
      <c r="B34" s="40"/>
      <c r="C34" s="40"/>
      <c r="D34" s="40"/>
      <c r="E34" s="40"/>
      <c r="F34" s="40"/>
    </row>
    <row r="35" spans="1:6" s="46" customFormat="1" ht="12" customHeight="1" x14ac:dyDescent="0.3">
      <c r="A35" s="46" t="s">
        <v>86</v>
      </c>
    </row>
    <row r="36" spans="1:6" ht="12" customHeight="1" x14ac:dyDescent="0.2">
      <c r="A36" s="46" t="s">
        <v>87</v>
      </c>
      <c r="B36" s="46"/>
      <c r="C36" s="46"/>
      <c r="D36" s="46"/>
      <c r="E36" s="46"/>
      <c r="F36" s="46"/>
    </row>
    <row r="37" spans="1:6" ht="12" customHeight="1" x14ac:dyDescent="0.2">
      <c r="A37" s="46" t="s">
        <v>88</v>
      </c>
      <c r="B37" s="46"/>
      <c r="C37" s="46"/>
      <c r="D37" s="46"/>
      <c r="E37" s="46"/>
      <c r="F37" s="46"/>
    </row>
    <row r="38" spans="1:6" ht="12" customHeight="1" x14ac:dyDescent="0.2">
      <c r="A38" s="46" t="s">
        <v>89</v>
      </c>
      <c r="B38" s="46"/>
      <c r="C38" s="46"/>
      <c r="D38" s="46"/>
      <c r="E38" s="46"/>
      <c r="F38" s="46"/>
    </row>
    <row r="39" spans="1:6" ht="12" customHeight="1" x14ac:dyDescent="0.2">
      <c r="A39" s="46" t="s">
        <v>90</v>
      </c>
      <c r="B39" s="46"/>
      <c r="C39" s="46"/>
      <c r="D39" s="46"/>
      <c r="E39" s="46"/>
      <c r="F39" s="46"/>
    </row>
    <row r="40" spans="1:6" ht="12" customHeight="1" x14ac:dyDescent="0.2">
      <c r="A40" s="46"/>
      <c r="B40" s="46"/>
      <c r="C40" s="46"/>
      <c r="D40" s="46"/>
      <c r="E40" s="46"/>
      <c r="F40" s="46"/>
    </row>
    <row r="50" spans="1:6" s="46" customFormat="1" ht="12" customHeight="1" x14ac:dyDescent="0.2">
      <c r="A50" s="40"/>
      <c r="B50" s="40"/>
      <c r="C50" s="40"/>
      <c r="D50" s="40"/>
      <c r="E50" s="40"/>
      <c r="F50" s="40"/>
    </row>
    <row r="51" spans="1:6" s="46" customFormat="1" ht="12" customHeight="1" x14ac:dyDescent="0.2">
      <c r="A51" s="40"/>
      <c r="B51" s="40"/>
      <c r="C51" s="40"/>
      <c r="D51" s="40"/>
      <c r="E51" s="40"/>
      <c r="F51" s="40"/>
    </row>
    <row r="52" spans="1:6" s="46" customFormat="1" ht="12" customHeight="1" x14ac:dyDescent="0.2">
      <c r="A52" s="40"/>
      <c r="B52" s="40"/>
      <c r="C52" s="40"/>
      <c r="D52" s="40"/>
      <c r="E52" s="40"/>
      <c r="F52" s="40"/>
    </row>
    <row r="53" spans="1:6" s="46" customFormat="1" ht="12" customHeight="1" x14ac:dyDescent="0.2">
      <c r="A53" s="40"/>
      <c r="B53" s="40"/>
      <c r="C53" s="40"/>
      <c r="D53" s="40"/>
      <c r="E53" s="40"/>
      <c r="F53" s="40"/>
    </row>
    <row r="54" spans="1:6" s="46" customFormat="1" ht="12" customHeight="1" x14ac:dyDescent="0.2">
      <c r="A54" s="40"/>
      <c r="B54" s="40"/>
      <c r="C54" s="40"/>
      <c r="D54" s="40"/>
      <c r="E54" s="40"/>
      <c r="F54" s="40"/>
    </row>
    <row r="55" spans="1:6" s="46" customFormat="1" ht="12" customHeight="1" x14ac:dyDescent="0.3"/>
    <row r="56" spans="1:6" s="46" customFormat="1" ht="12" customHeight="1" x14ac:dyDescent="0.3"/>
    <row r="57" spans="1:6" s="46" customFormat="1" ht="12" customHeight="1" x14ac:dyDescent="0.3"/>
    <row r="58" spans="1:6" s="46" customFormat="1" ht="12" customHeight="1" x14ac:dyDescent="0.3"/>
    <row r="59" spans="1:6" ht="12" customHeight="1" x14ac:dyDescent="0.2">
      <c r="A59" s="46"/>
      <c r="B59" s="46"/>
      <c r="C59" s="46"/>
      <c r="D59" s="46"/>
      <c r="E59" s="46"/>
      <c r="F59" s="46"/>
    </row>
    <row r="60" spans="1:6" ht="12" customHeight="1" x14ac:dyDescent="0.2">
      <c r="A60" s="46"/>
      <c r="B60" s="46"/>
      <c r="C60" s="46"/>
      <c r="D60" s="46"/>
      <c r="E60" s="46"/>
      <c r="F60" s="46"/>
    </row>
    <row r="61" spans="1:6" ht="12" customHeight="1" x14ac:dyDescent="0.2">
      <c r="A61" s="46"/>
      <c r="B61" s="46"/>
      <c r="C61" s="46"/>
      <c r="D61" s="46"/>
      <c r="E61" s="46"/>
      <c r="F61" s="46"/>
    </row>
    <row r="62" spans="1:6" ht="12" customHeight="1" x14ac:dyDescent="0.2">
      <c r="A62" s="46"/>
      <c r="B62" s="46"/>
      <c r="C62" s="46"/>
      <c r="D62" s="46"/>
      <c r="E62" s="46"/>
      <c r="F62" s="46"/>
    </row>
    <row r="63" spans="1:6" ht="12" customHeight="1" x14ac:dyDescent="0.2">
      <c r="A63" s="46"/>
      <c r="B63" s="46"/>
      <c r="C63" s="46"/>
      <c r="D63" s="46"/>
      <c r="E63" s="46"/>
      <c r="F63" s="4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Summary $2018</vt:lpstr>
      <vt:lpstr>NASS price index</vt:lpstr>
      <vt:lpstr>Assumptions</vt:lpstr>
      <vt:lpstr>References</vt:lpstr>
      <vt:lpstr>Opportunity Cost</vt:lpstr>
      <vt:lpstr>15. Stream Restoration</vt:lpstr>
      <vt:lpstr>30. WetlandRehabilitation</vt:lpstr>
      <vt:lpstr>40.1 ShoreAgNoVeg</vt:lpstr>
      <vt:lpstr>40.2 ShoreAgVeg</vt:lpstr>
      <vt:lpstr>40.4-6 Urban Shoreline Mgmt</vt:lpstr>
      <vt:lpstr>Abandoned Mine Reclam</vt:lpstr>
      <vt:lpstr>Algal Flow-way</vt:lpstr>
      <vt:lpstr>Forest Harvesting</vt:lpstr>
      <vt:lpstr>DiploidOysters</vt:lpstr>
      <vt:lpstr>Oyster Reef Restoration</vt:lpstr>
      <vt:lpstr>TriploidOysters  </vt:lpstr>
      <vt:lpstr>WetlandEnhancement</vt:lpstr>
      <vt:lpstr>AMR_Watershed</vt:lpstr>
      <vt:lpstr>Annual_rate1</vt:lpstr>
      <vt:lpstr>CCI_2010</vt:lpstr>
      <vt:lpstr>DEcrop</vt:lpstr>
      <vt:lpstr>'NASS price index'!ERS2001_Factor</vt:lpstr>
      <vt:lpstr>FHP_PA</vt:lpstr>
      <vt:lpstr>FHP_VA</vt:lpstr>
      <vt:lpstr>FHP_Watershed</vt:lpstr>
      <vt:lpstr>'NASS price index'!Index2002</vt:lpstr>
      <vt:lpstr>'NASS price index'!Index2003</vt:lpstr>
      <vt:lpstr>'NASS price index'!Index2004</vt:lpstr>
      <vt:lpstr>'NASS price index'!Index2005</vt:lpstr>
      <vt:lpstr>'NASS price index'!Index2006</vt:lpstr>
      <vt:lpstr>'NASS price index'!Index2007</vt:lpstr>
      <vt:lpstr>'NASS price index'!Index2008</vt:lpstr>
      <vt:lpstr>'NASS price index'!Index2009</vt:lpstr>
      <vt:lpstr>'NASS price index'!Index2011</vt:lpstr>
      <vt:lpstr>'NASS price index'!Index2012</vt:lpstr>
      <vt:lpstr>'NASS price index'!Index2013</vt:lpstr>
      <vt:lpstr>'NASS price index'!Index2014</vt:lpstr>
      <vt:lpstr>'NASS price index'!Index2015</vt:lpstr>
      <vt:lpstr>'NASS price index'!Index2016</vt:lpstr>
      <vt:lpstr>MDcrop</vt:lpstr>
      <vt:lpstr>NASS_2018</vt:lpstr>
      <vt:lpstr>NASS1</vt:lpstr>
      <vt:lpstr>NASS20102018</vt:lpstr>
      <vt:lpstr>NASS2016</vt:lpstr>
      <vt:lpstr>NYcrop</vt:lpstr>
      <vt:lpstr>PAcrop</vt:lpstr>
      <vt:lpstr>VAcrop</vt:lpstr>
      <vt:lpstr>WScrop</vt:lpstr>
      <vt:lpstr>WVcrop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Houtven, George L.</dc:creator>
  <cp:lastModifiedBy>Olivia Devereux</cp:lastModifiedBy>
  <dcterms:created xsi:type="dcterms:W3CDTF">2017-05-07T23:48:25Z</dcterms:created>
  <dcterms:modified xsi:type="dcterms:W3CDTF">2020-05-22T16:54:08Z</dcterms:modified>
</cp:coreProperties>
</file>